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ntonstjohnparishcouncil.sharepoint.com/sites/StantonStJohnParishCouncil/Shared Documents/Restricted/2026-2027/September 2026/"/>
    </mc:Choice>
  </mc:AlternateContent>
  <xr:revisionPtr revIDLastSave="0" documentId="8_{800FB26F-A95A-470E-9B5B-048043F34210}" xr6:coauthVersionLast="47" xr6:coauthVersionMax="47" xr10:uidLastSave="{00000000-0000-0000-0000-000000000000}"/>
  <bookViews>
    <workbookView xWindow="28680" yWindow="-120" windowWidth="29040" windowHeight="15720" firstSheet="11" activeTab="11" xr2:uid="{DAEE91C5-30B3-4A64-8662-AF0BD6CC702B}"/>
  </bookViews>
  <sheets>
    <sheet name="Receipts &amp; Payments Summary " sheetId="12" state="hidden" r:id="rId1"/>
    <sheet name="Payments" sheetId="1" state="hidden" r:id="rId2"/>
    <sheet name="Receipts" sheetId="2" state="hidden" r:id="rId3"/>
    <sheet name="Annual return " sheetId="13" state="hidden" r:id="rId4"/>
    <sheet name="Reconciliation" sheetId="6" state="hidden" r:id="rId5"/>
    <sheet name="Current budget" sheetId="10" state="hidden" r:id="rId6"/>
    <sheet name="Variances " sheetId="14" state="hidden" r:id="rId7"/>
    <sheet name="Budget 2023-2024" sheetId="11" state="hidden" r:id="rId8"/>
    <sheet name="Budget 2025 2026" sheetId="19" state="hidden" r:id="rId9"/>
    <sheet name="Assumptions " sheetId="20" state="hidden" r:id="rId10"/>
    <sheet name="Reserves Capital budget " sheetId="21" state="hidden" r:id="rId11"/>
    <sheet name="Budget 2026 2027" sheetId="23" r:id="rId12"/>
    <sheet name="Budget 2024-2025" sheetId="15" state="hidden" r:id="rId13"/>
    <sheet name="2024 2025 budget" sheetId="17" state="hidden" r:id="rId14"/>
    <sheet name="Asset Register" sheetId="8" state="hidden" r:id="rId15"/>
  </sheets>
  <definedNames>
    <definedName name="_xlnm._FilterDatabase" localSheetId="1" hidden="1">Payments!$A$1:$AT$72</definedName>
    <definedName name="_xlnm.Print_Area" localSheetId="1">Payments!$A$1:$AC$131</definedName>
    <definedName name="_xlnm.Print_Area" localSheetId="2">Receipts!$A$1:$D$16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71" i="23" l="1"/>
  <c r="V71" i="23" s="1"/>
  <c r="V64" i="23"/>
  <c r="V68" i="23"/>
  <c r="V69" i="23"/>
  <c r="V70" i="23"/>
  <c r="V37" i="23"/>
  <c r="V38" i="23"/>
  <c r="V39" i="23"/>
  <c r="V40" i="23"/>
  <c r="V44" i="23"/>
  <c r="V45" i="23"/>
  <c r="V46" i="23"/>
  <c r="V47" i="23"/>
  <c r="V48" i="23"/>
  <c r="V49" i="23"/>
  <c r="V50" i="23"/>
  <c r="V55" i="23"/>
  <c r="V56" i="23"/>
  <c r="V57" i="23"/>
  <c r="V58" i="23"/>
  <c r="V59" i="23"/>
  <c r="V60" i="23"/>
  <c r="V61" i="23"/>
  <c r="V63" i="23"/>
  <c r="V32" i="23"/>
  <c r="V33" i="23"/>
  <c r="V22" i="23"/>
  <c r="V23" i="23"/>
  <c r="V24" i="23"/>
  <c r="V27" i="23"/>
  <c r="V28" i="23"/>
  <c r="V29" i="23"/>
  <c r="V21" i="23"/>
  <c r="V20" i="23"/>
  <c r="V19" i="23"/>
  <c r="V18" i="23"/>
  <c r="V17" i="23"/>
  <c r="V16" i="23"/>
  <c r="V12" i="23"/>
  <c r="V13" i="23"/>
  <c r="V9" i="23"/>
  <c r="V10" i="23"/>
  <c r="V11" i="23"/>
  <c r="U6" i="23"/>
  <c r="V6" i="23" s="1"/>
  <c r="V4" i="23"/>
  <c r="V3" i="23"/>
  <c r="T71" i="23"/>
  <c r="K69" i="23"/>
  <c r="K68" i="23"/>
  <c r="K67" i="23"/>
  <c r="C67" i="23"/>
  <c r="P64" i="23"/>
  <c r="P62" i="23"/>
  <c r="K62" i="23"/>
  <c r="P61" i="23"/>
  <c r="K61" i="23"/>
  <c r="P60" i="23"/>
  <c r="K60" i="23"/>
  <c r="P59" i="23"/>
  <c r="K59" i="23"/>
  <c r="P58" i="23"/>
  <c r="K58" i="23"/>
  <c r="P57" i="23"/>
  <c r="K57" i="23"/>
  <c r="P56" i="23"/>
  <c r="K56" i="23"/>
  <c r="P55" i="23"/>
  <c r="K55" i="23"/>
  <c r="N52" i="23"/>
  <c r="N71" i="23" s="1"/>
  <c r="L52" i="23"/>
  <c r="I52" i="23"/>
  <c r="I71" i="23" s="1"/>
  <c r="H52" i="23"/>
  <c r="G52" i="23"/>
  <c r="G71" i="23" s="1"/>
  <c r="E52" i="23"/>
  <c r="D52" i="23"/>
  <c r="D71" i="23" s="1"/>
  <c r="P51" i="23"/>
  <c r="K51" i="23"/>
  <c r="P50" i="23"/>
  <c r="K50" i="23"/>
  <c r="P49" i="23"/>
  <c r="K49" i="23"/>
  <c r="P48" i="23"/>
  <c r="K48" i="23"/>
  <c r="P47" i="23"/>
  <c r="K47" i="23"/>
  <c r="P46" i="23"/>
  <c r="K46" i="23"/>
  <c r="P45" i="23"/>
  <c r="P44" i="23"/>
  <c r="K44" i="23"/>
  <c r="F44" i="23"/>
  <c r="F52" i="23" s="1"/>
  <c r="F71" i="23" s="1"/>
  <c r="P43" i="23"/>
  <c r="P41" i="23"/>
  <c r="K41" i="23"/>
  <c r="P40" i="23"/>
  <c r="K40" i="23"/>
  <c r="P39" i="23"/>
  <c r="K39" i="23"/>
  <c r="P38" i="23"/>
  <c r="K38" i="23"/>
  <c r="P37" i="23"/>
  <c r="K37" i="23"/>
  <c r="K34" i="23"/>
  <c r="P33" i="23"/>
  <c r="R35" i="23" s="1"/>
  <c r="K33" i="23"/>
  <c r="P32" i="23"/>
  <c r="K32" i="23"/>
  <c r="P29" i="23"/>
  <c r="K29" i="23"/>
  <c r="P28" i="23"/>
  <c r="K28" i="23"/>
  <c r="P27" i="23"/>
  <c r="K27" i="23"/>
  <c r="P24" i="23"/>
  <c r="K24" i="23"/>
  <c r="O23" i="23"/>
  <c r="P23" i="23" s="1"/>
  <c r="K23" i="23"/>
  <c r="P22" i="23"/>
  <c r="K22" i="23"/>
  <c r="P21" i="23"/>
  <c r="K21" i="23"/>
  <c r="O20" i="23"/>
  <c r="K20" i="23"/>
  <c r="O19" i="23"/>
  <c r="K19" i="23"/>
  <c r="O18" i="23"/>
  <c r="K18" i="23"/>
  <c r="K17" i="23"/>
  <c r="O16" i="23"/>
  <c r="K16" i="23"/>
  <c r="O13" i="23"/>
  <c r="L13" i="23"/>
  <c r="P13" i="23" s="1"/>
  <c r="K13" i="23"/>
  <c r="O12" i="23"/>
  <c r="L12" i="23"/>
  <c r="P12" i="23" s="1"/>
  <c r="K12" i="23"/>
  <c r="H11" i="23"/>
  <c r="K11" i="23" s="1"/>
  <c r="L10" i="23"/>
  <c r="P10" i="23" s="1"/>
  <c r="K10" i="23"/>
  <c r="O9" i="23"/>
  <c r="L9" i="23"/>
  <c r="L11" i="23" s="1"/>
  <c r="P11" i="23" s="1"/>
  <c r="H9" i="23"/>
  <c r="K9" i="23" s="1"/>
  <c r="T6" i="23"/>
  <c r="O5" i="23"/>
  <c r="L4" i="23"/>
  <c r="P4" i="23" s="1"/>
  <c r="P3" i="23"/>
  <c r="H3" i="23"/>
  <c r="L71" i="23" l="1"/>
  <c r="R6" i="23"/>
  <c r="R65" i="23"/>
  <c r="R42" i="23"/>
  <c r="T72" i="23"/>
  <c r="R52" i="23"/>
  <c r="F72" i="23"/>
  <c r="P9" i="23"/>
  <c r="R14" i="23" s="1"/>
  <c r="R25" i="23"/>
  <c r="K52" i="23"/>
  <c r="H71" i="23"/>
  <c r="K71" i="23" s="1"/>
  <c r="O71" i="23"/>
  <c r="P71" i="23" s="1"/>
  <c r="R71" i="23" s="1"/>
  <c r="T6" i="19" l="1"/>
  <c r="T72" i="19"/>
  <c r="T73" i="19" s="1"/>
  <c r="P44" i="19"/>
  <c r="O5" i="19"/>
  <c r="O9" i="19"/>
  <c r="N52" i="19"/>
  <c r="N72" i="19" s="1"/>
  <c r="P3" i="19"/>
  <c r="P62" i="19"/>
  <c r="P64" i="19"/>
  <c r="P61" i="19"/>
  <c r="P60" i="19"/>
  <c r="P59" i="19"/>
  <c r="P58" i="19"/>
  <c r="P57" i="19"/>
  <c r="P56" i="19"/>
  <c r="P55" i="19"/>
  <c r="P51" i="19"/>
  <c r="P43" i="19"/>
  <c r="P45" i="19"/>
  <c r="P46" i="19"/>
  <c r="P47" i="19"/>
  <c r="P48" i="19"/>
  <c r="P49" i="19"/>
  <c r="P50" i="19"/>
  <c r="P41" i="19"/>
  <c r="P39" i="19"/>
  <c r="P40" i="19"/>
  <c r="P38" i="19"/>
  <c r="P37" i="19"/>
  <c r="P33" i="19"/>
  <c r="P32" i="19"/>
  <c r="P29" i="19"/>
  <c r="P28" i="19"/>
  <c r="P27" i="19"/>
  <c r="P24" i="19"/>
  <c r="P22" i="19"/>
  <c r="P21" i="19"/>
  <c r="O18" i="19"/>
  <c r="O19" i="19"/>
  <c r="O20" i="19"/>
  <c r="O23" i="19"/>
  <c r="P23" i="19" s="1"/>
  <c r="O16" i="19"/>
  <c r="O12" i="19"/>
  <c r="O13" i="19"/>
  <c r="B18" i="20"/>
  <c r="L52" i="19"/>
  <c r="E52" i="19"/>
  <c r="G52" i="19"/>
  <c r="G72" i="19" s="1"/>
  <c r="H52" i="19"/>
  <c r="I52" i="19"/>
  <c r="I72" i="19" s="1"/>
  <c r="D52" i="19"/>
  <c r="D72" i="19" s="1"/>
  <c r="K41" i="19"/>
  <c r="C15" i="21"/>
  <c r="C9" i="21"/>
  <c r="C16" i="21" s="1"/>
  <c r="K27" i="19"/>
  <c r="L4" i="19"/>
  <c r="K10" i="19"/>
  <c r="K12" i="19"/>
  <c r="K13" i="19"/>
  <c r="K16" i="19"/>
  <c r="K17" i="19"/>
  <c r="K18" i="19"/>
  <c r="K19" i="19"/>
  <c r="K20" i="19"/>
  <c r="K21" i="19"/>
  <c r="K22" i="19"/>
  <c r="K23" i="19"/>
  <c r="K24" i="19"/>
  <c r="K28" i="19"/>
  <c r="K29" i="19"/>
  <c r="K32" i="19"/>
  <c r="K33" i="19"/>
  <c r="K34" i="19"/>
  <c r="K37" i="19"/>
  <c r="K38" i="19"/>
  <c r="K39" i="19"/>
  <c r="K40" i="19"/>
  <c r="K44" i="19"/>
  <c r="K46" i="19"/>
  <c r="K47" i="19"/>
  <c r="K48" i="19"/>
  <c r="K49" i="19"/>
  <c r="K50" i="19"/>
  <c r="K51" i="19"/>
  <c r="K55" i="19"/>
  <c r="K56" i="19"/>
  <c r="K57" i="19"/>
  <c r="K58" i="19"/>
  <c r="K59" i="19"/>
  <c r="K60" i="19"/>
  <c r="K61" i="19"/>
  <c r="K62" i="19"/>
  <c r="K67" i="19"/>
  <c r="K68" i="19"/>
  <c r="K69" i="19"/>
  <c r="K70" i="19"/>
  <c r="C68" i="19"/>
  <c r="R52" i="19" l="1"/>
  <c r="R25" i="19"/>
  <c r="R35" i="19"/>
  <c r="R65" i="19"/>
  <c r="P4" i="19"/>
  <c r="R6" i="19" s="1"/>
  <c r="O72" i="19"/>
  <c r="R42" i="19"/>
  <c r="K52" i="19"/>
  <c r="L13" i="19"/>
  <c r="P13" i="19" s="1"/>
  <c r="L12" i="19"/>
  <c r="P12" i="19" s="1"/>
  <c r="L10" i="19"/>
  <c r="P10" i="19" s="1"/>
  <c r="L9" i="19"/>
  <c r="P9" i="19" s="1"/>
  <c r="H3" i="19"/>
  <c r="F44" i="19"/>
  <c r="G48" i="6"/>
  <c r="X33" i="1"/>
  <c r="Z33" i="1" s="1"/>
  <c r="G61" i="6"/>
  <c r="X21" i="1"/>
  <c r="Z21" i="1" s="1"/>
  <c r="X22" i="1"/>
  <c r="X23" i="1"/>
  <c r="F49" i="1"/>
  <c r="I49" i="1"/>
  <c r="M49" i="1"/>
  <c r="N49" i="1"/>
  <c r="Q49" i="1"/>
  <c r="R49" i="1"/>
  <c r="S49" i="1"/>
  <c r="U49" i="1"/>
  <c r="X38" i="1"/>
  <c r="X39" i="1"/>
  <c r="X40" i="1"/>
  <c r="Y40" i="1" s="1"/>
  <c r="X41" i="1"/>
  <c r="X42" i="1"/>
  <c r="X43" i="1"/>
  <c r="X44" i="1"/>
  <c r="Y44" i="1" s="1"/>
  <c r="Z44" i="1" s="1"/>
  <c r="K49" i="1"/>
  <c r="H9" i="19" s="1"/>
  <c r="J49" i="1"/>
  <c r="H11" i="19" s="1"/>
  <c r="K11" i="19" s="1"/>
  <c r="H72" i="19" l="1"/>
  <c r="K72" i="19" s="1"/>
  <c r="F52" i="19"/>
  <c r="K9" i="19"/>
  <c r="L11" i="19"/>
  <c r="B101" i="19"/>
  <c r="J17" i="17"/>
  <c r="Z40" i="1"/>
  <c r="Z43" i="1"/>
  <c r="Z41" i="1"/>
  <c r="Z42" i="1"/>
  <c r="Z38" i="1"/>
  <c r="Z39" i="1"/>
  <c r="L72" i="19" l="1"/>
  <c r="P72" i="19" s="1"/>
  <c r="R72" i="19" s="1"/>
  <c r="P11" i="19"/>
  <c r="R14" i="19" s="1"/>
  <c r="F72" i="19"/>
  <c r="F73" i="19" s="1"/>
  <c r="G14" i="6"/>
  <c r="G9" i="6"/>
  <c r="L49" i="1"/>
  <c r="O49" i="1"/>
  <c r="P49" i="1"/>
  <c r="T49" i="1"/>
  <c r="V49" i="1"/>
  <c r="W49" i="1"/>
  <c r="X4" i="1"/>
  <c r="Y4" i="1" s="1"/>
  <c r="X5" i="1"/>
  <c r="X6" i="1"/>
  <c r="Y6" i="1" s="1"/>
  <c r="X7" i="1"/>
  <c r="X8" i="1"/>
  <c r="X9" i="1"/>
  <c r="X10" i="1"/>
  <c r="Y10" i="1" s="1"/>
  <c r="X11" i="1"/>
  <c r="X12" i="1"/>
  <c r="Y12" i="1" s="1"/>
  <c r="X13" i="1"/>
  <c r="Y13" i="1" s="1"/>
  <c r="X14" i="1"/>
  <c r="X15" i="1"/>
  <c r="X16" i="1"/>
  <c r="Y16" i="1" s="1"/>
  <c r="X17" i="1"/>
  <c r="X18" i="1"/>
  <c r="Y18" i="1" s="1"/>
  <c r="X19" i="1"/>
  <c r="X20" i="1"/>
  <c r="Y22" i="1"/>
  <c r="Y23" i="1"/>
  <c r="X25" i="1"/>
  <c r="Y25" i="1" s="1"/>
  <c r="X26" i="1"/>
  <c r="X27" i="1"/>
  <c r="X28" i="1"/>
  <c r="X29" i="1"/>
  <c r="X30" i="1"/>
  <c r="X31" i="1"/>
  <c r="X32" i="1"/>
  <c r="X34" i="1"/>
  <c r="X35" i="1"/>
  <c r="Y35" i="1" s="1"/>
  <c r="X36" i="1"/>
  <c r="Y36" i="1" s="1"/>
  <c r="X37" i="1"/>
  <c r="X45" i="1"/>
  <c r="Y45" i="1" s="1"/>
  <c r="X46" i="1"/>
  <c r="Y46" i="1" s="1"/>
  <c r="X47" i="1"/>
  <c r="Y47" i="1" s="1"/>
  <c r="X48" i="1"/>
  <c r="Y48" i="1" s="1"/>
  <c r="X3" i="1"/>
  <c r="Y3" i="1" s="1"/>
  <c r="P62" i="8"/>
  <c r="P45" i="8"/>
  <c r="D15" i="2"/>
  <c r="Y49" i="1" l="1"/>
  <c r="X49" i="1"/>
  <c r="G142" i="6"/>
  <c r="Z101" i="1" l="1"/>
  <c r="Z100" i="1"/>
  <c r="Z82" i="1"/>
  <c r="Z83" i="1"/>
  <c r="Z84" i="1"/>
  <c r="Z85" i="1"/>
  <c r="Z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2" i="1"/>
  <c r="Z79" i="1"/>
  <c r="Z80" i="1"/>
  <c r="Z81" i="1"/>
  <c r="G99" i="6"/>
  <c r="Z67" i="1"/>
  <c r="Z68" i="1"/>
  <c r="Z77" i="1"/>
  <c r="Z78" i="1"/>
  <c r="Z70" i="1"/>
  <c r="I50" i="17"/>
  <c r="I51" i="17" s="1"/>
  <c r="F50" i="17"/>
  <c r="C50" i="17"/>
  <c r="G49" i="17"/>
  <c r="G48" i="17"/>
  <c r="G47" i="17"/>
  <c r="G46" i="17"/>
  <c r="G45" i="17"/>
  <c r="G44" i="17"/>
  <c r="G43" i="17"/>
  <c r="E42" i="17"/>
  <c r="G42" i="17" s="1"/>
  <c r="G41" i="17"/>
  <c r="G40" i="17"/>
  <c r="G39" i="17"/>
  <c r="G38" i="17"/>
  <c r="G37" i="17"/>
  <c r="G36" i="17"/>
  <c r="G35" i="17"/>
  <c r="G34" i="17"/>
  <c r="G31" i="17"/>
  <c r="G30" i="17"/>
  <c r="G29" i="17"/>
  <c r="G28" i="17"/>
  <c r="G27" i="17"/>
  <c r="G26" i="17"/>
  <c r="E25" i="17"/>
  <c r="D25" i="17"/>
  <c r="D50" i="17" s="1"/>
  <c r="G24" i="17"/>
  <c r="G23" i="17"/>
  <c r="G22" i="17"/>
  <c r="G21" i="17"/>
  <c r="G20" i="17"/>
  <c r="G19" i="17"/>
  <c r="G18" i="17"/>
  <c r="G17" i="17"/>
  <c r="I11" i="17"/>
  <c r="F11" i="17"/>
  <c r="E11" i="17"/>
  <c r="D11" i="17"/>
  <c r="C11" i="17"/>
  <c r="G10" i="17"/>
  <c r="G9" i="17"/>
  <c r="G8" i="17"/>
  <c r="G7" i="17"/>
  <c r="Z72" i="1"/>
  <c r="Z73" i="1"/>
  <c r="Z74" i="1"/>
  <c r="Z75" i="1"/>
  <c r="Z76" i="1"/>
  <c r="Z69" i="1"/>
  <c r="Z65" i="1"/>
  <c r="Z66" i="1"/>
  <c r="Z71" i="1"/>
  <c r="Z55" i="1"/>
  <c r="Z56" i="1"/>
  <c r="Z57" i="1"/>
  <c r="Z58" i="1"/>
  <c r="Z59" i="1"/>
  <c r="Z60" i="1"/>
  <c r="Z61" i="1"/>
  <c r="Z62" i="1"/>
  <c r="Z63" i="1"/>
  <c r="Z64" i="1"/>
  <c r="E50" i="17" l="1"/>
  <c r="G50" i="17" s="1"/>
  <c r="G11" i="17"/>
  <c r="G25" i="17"/>
  <c r="M25" i="11" l="1"/>
  <c r="M27" i="11"/>
  <c r="M28" i="11"/>
  <c r="M29" i="11"/>
  <c r="M30" i="11"/>
  <c r="M32" i="11"/>
  <c r="M33" i="11"/>
  <c r="M34" i="11"/>
  <c r="M35" i="11"/>
  <c r="M36" i="11"/>
  <c r="M37" i="11"/>
  <c r="M38" i="11"/>
  <c r="M39" i="11"/>
  <c r="M40" i="11"/>
  <c r="M41" i="11"/>
  <c r="M43" i="11"/>
  <c r="M44" i="11"/>
  <c r="M45" i="11"/>
  <c r="M47" i="11"/>
  <c r="M48" i="11"/>
  <c r="M49" i="11"/>
  <c r="M50" i="11"/>
  <c r="M51" i="11"/>
  <c r="M53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1" i="11"/>
  <c r="M73" i="11"/>
  <c r="M74" i="11"/>
  <c r="M75" i="11"/>
  <c r="M76" i="11"/>
  <c r="M78" i="11"/>
  <c r="M79" i="11"/>
  <c r="M80" i="11"/>
  <c r="M81" i="11"/>
  <c r="M82" i="11"/>
  <c r="M83" i="11"/>
  <c r="M84" i="11"/>
  <c r="M85" i="11"/>
  <c r="M86" i="11"/>
  <c r="M89" i="11"/>
  <c r="M90" i="11"/>
  <c r="M91" i="11"/>
  <c r="M92" i="11"/>
  <c r="M93" i="11"/>
  <c r="M94" i="11"/>
  <c r="M95" i="11"/>
  <c r="M96" i="11"/>
  <c r="M10" i="11"/>
  <c r="M12" i="11"/>
  <c r="M17" i="11"/>
  <c r="M18" i="11"/>
  <c r="M19" i="11"/>
  <c r="M20" i="11"/>
  <c r="M21" i="11"/>
  <c r="M22" i="11"/>
  <c r="M23" i="11"/>
  <c r="L9" i="15"/>
  <c r="L11" i="15"/>
  <c r="L13" i="15"/>
  <c r="M13" i="15" s="1"/>
  <c r="C14" i="15"/>
  <c r="L15" i="15"/>
  <c r="H24" i="15"/>
  <c r="H26" i="15"/>
  <c r="H27" i="15"/>
  <c r="H29" i="15"/>
  <c r="H30" i="15"/>
  <c r="H31" i="15"/>
  <c r="H33" i="15"/>
  <c r="G36" i="15"/>
  <c r="H36" i="15" s="1"/>
  <c r="G37" i="15"/>
  <c r="H37" i="15"/>
  <c r="H38" i="15"/>
  <c r="H39" i="15"/>
  <c r="H40" i="15"/>
  <c r="H41" i="15"/>
  <c r="H45" i="15"/>
  <c r="G47" i="15"/>
  <c r="H47" i="15"/>
  <c r="G48" i="15"/>
  <c r="H48" i="15" s="1"/>
  <c r="H49" i="15"/>
  <c r="H50" i="15"/>
  <c r="G51" i="15"/>
  <c r="H51" i="15" s="1"/>
  <c r="G52" i="15"/>
  <c r="H52" i="15"/>
  <c r="H54" i="15"/>
  <c r="H56" i="15"/>
  <c r="H58" i="15"/>
  <c r="H59" i="15"/>
  <c r="H60" i="15"/>
  <c r="H61" i="15"/>
  <c r="H62" i="15"/>
  <c r="G63" i="15"/>
  <c r="H63" i="15"/>
  <c r="G64" i="15"/>
  <c r="H64" i="15" s="1"/>
  <c r="H65" i="15"/>
  <c r="H66" i="15"/>
  <c r="H67" i="15"/>
  <c r="G68" i="15"/>
  <c r="H68" i="15"/>
  <c r="G69" i="15"/>
  <c r="H69" i="15" s="1"/>
  <c r="H71" i="15"/>
  <c r="F72" i="15"/>
  <c r="H72" i="15"/>
  <c r="H73" i="15"/>
  <c r="H74" i="15"/>
  <c r="H76" i="15"/>
  <c r="H77" i="15"/>
  <c r="L77" i="15"/>
  <c r="H78" i="15"/>
  <c r="H81" i="15"/>
  <c r="H84" i="15"/>
  <c r="H85" i="15"/>
  <c r="H87" i="15"/>
  <c r="L87" i="15"/>
  <c r="L88" i="15"/>
  <c r="H89" i="15"/>
  <c r="H90" i="15"/>
  <c r="I90" i="15" s="1"/>
  <c r="H91" i="15"/>
  <c r="H93" i="15"/>
  <c r="H94" i="15"/>
  <c r="H95" i="15"/>
  <c r="H96" i="15"/>
  <c r="E97" i="15"/>
  <c r="J97" i="15"/>
  <c r="N97" i="15"/>
  <c r="B113" i="15"/>
  <c r="B115" i="15"/>
  <c r="N97" i="11"/>
  <c r="L14" i="15" l="1"/>
  <c r="L16" i="15" s="1"/>
  <c r="M11" i="15"/>
  <c r="M14" i="15" l="1"/>
  <c r="M15" i="15"/>
  <c r="L77" i="11" l="1"/>
  <c r="M77" i="11" s="1"/>
  <c r="L87" i="11"/>
  <c r="M87" i="11" s="1"/>
  <c r="L88" i="11"/>
  <c r="M88" i="11" s="1"/>
  <c r="Z11" i="1"/>
  <c r="Z12" i="1"/>
  <c r="Z14" i="1"/>
  <c r="L9" i="11"/>
  <c r="L15" i="11"/>
  <c r="L13" i="11"/>
  <c r="M13" i="11" s="1"/>
  <c r="L11" i="11"/>
  <c r="M11" i="11" s="1"/>
  <c r="L14" i="11" l="1"/>
  <c r="M14" i="11" s="1"/>
  <c r="L16" i="11" l="1"/>
  <c r="G145" i="6"/>
  <c r="Z4" i="1" l="1"/>
  <c r="Z5" i="1"/>
  <c r="Z6" i="1"/>
  <c r="Z7" i="1"/>
  <c r="Z8" i="1"/>
  <c r="Z9" i="1"/>
  <c r="Z10" i="1"/>
  <c r="Z13" i="1"/>
  <c r="Z15" i="1"/>
  <c r="Z16" i="1"/>
  <c r="Z17" i="1"/>
  <c r="Z18" i="1"/>
  <c r="Z19" i="1"/>
  <c r="Z20" i="1"/>
  <c r="Z22" i="1"/>
  <c r="G63" i="6" s="1"/>
  <c r="Z23" i="1"/>
  <c r="Z25" i="1"/>
  <c r="Z26" i="1"/>
  <c r="Z27" i="1"/>
  <c r="Z28" i="1"/>
  <c r="Z29" i="1"/>
  <c r="Z30" i="1"/>
  <c r="Z31" i="1"/>
  <c r="Z32" i="1"/>
  <c r="Z34" i="1"/>
  <c r="Z35" i="1"/>
  <c r="Z36" i="1"/>
  <c r="Z37" i="1"/>
  <c r="Z45" i="1"/>
  <c r="Z46" i="1"/>
  <c r="Z48" i="1"/>
  <c r="Z50" i="1"/>
  <c r="Z51" i="1"/>
  <c r="Z52" i="1"/>
  <c r="Z53" i="1"/>
  <c r="Z54" i="1"/>
  <c r="G101" i="6" l="1"/>
  <c r="F44" i="15"/>
  <c r="H44" i="15" s="1"/>
  <c r="F35" i="15"/>
  <c r="H35" i="15" s="1"/>
  <c r="F34" i="15"/>
  <c r="H34" i="15" s="1"/>
  <c r="F46" i="15"/>
  <c r="H46" i="15" s="1"/>
  <c r="F53" i="15"/>
  <c r="G53" i="15" s="1"/>
  <c r="F57" i="15"/>
  <c r="G57" i="15" s="1"/>
  <c r="H57" i="15" s="1"/>
  <c r="F32" i="15"/>
  <c r="H32" i="15" s="1"/>
  <c r="F82" i="15"/>
  <c r="H82" i="15" s="1"/>
  <c r="F43" i="15"/>
  <c r="H43" i="15" s="1"/>
  <c r="E10" i="14"/>
  <c r="E12" i="14"/>
  <c r="E14" i="14"/>
  <c r="G97" i="15" l="1"/>
  <c r="H53" i="15"/>
  <c r="E32" i="14"/>
  <c r="B50" i="14"/>
  <c r="C33" i="14"/>
  <c r="B33" i="14"/>
  <c r="B44" i="14"/>
  <c r="B48" i="14"/>
  <c r="B29" i="14"/>
  <c r="B22" i="14"/>
  <c r="D9" i="14"/>
  <c r="D10" i="14"/>
  <c r="D11" i="14"/>
  <c r="D12" i="14"/>
  <c r="D13" i="14"/>
  <c r="D18" i="14"/>
  <c r="E18" i="14" s="1"/>
  <c r="D20" i="14"/>
  <c r="E20" i="14" s="1"/>
  <c r="D24" i="14"/>
  <c r="D25" i="14"/>
  <c r="D28" i="14"/>
  <c r="D30" i="14"/>
  <c r="D32" i="14"/>
  <c r="D34" i="14"/>
  <c r="D35" i="14"/>
  <c r="D36" i="14"/>
  <c r="D37" i="14"/>
  <c r="D38" i="14"/>
  <c r="D40" i="14"/>
  <c r="E40" i="14" s="1"/>
  <c r="D41" i="14"/>
  <c r="E41" i="14" s="1"/>
  <c r="D43" i="14"/>
  <c r="D45" i="14"/>
  <c r="D46" i="14"/>
  <c r="E46" i="14" s="1"/>
  <c r="C39" i="14"/>
  <c r="D39" i="14" s="1"/>
  <c r="E39" i="14" s="1"/>
  <c r="C47" i="14"/>
  <c r="D47" i="14" s="1"/>
  <c r="E47" i="14" s="1"/>
  <c r="C42" i="14"/>
  <c r="D42" i="14" s="1"/>
  <c r="E42" i="14" s="1"/>
  <c r="C14" i="14"/>
  <c r="D14" i="14" s="1"/>
  <c r="D31" i="14"/>
  <c r="E31" i="14" s="1"/>
  <c r="D8" i="14"/>
  <c r="E8" i="14" s="1"/>
  <c r="B14" i="14"/>
  <c r="F12" i="13"/>
  <c r="C48" i="14" l="1"/>
  <c r="C44" i="14"/>
  <c r="H29" i="12"/>
  <c r="G78" i="6"/>
  <c r="G83" i="6" s="1"/>
  <c r="G56" i="6"/>
  <c r="H23" i="12"/>
  <c r="H22" i="12"/>
  <c r="H26" i="12"/>
  <c r="H27" i="12"/>
  <c r="H20" i="12" l="1"/>
  <c r="H21" i="12"/>
  <c r="H25" i="12"/>
  <c r="G138" i="6"/>
  <c r="G129" i="6"/>
  <c r="G92" i="6"/>
  <c r="G95" i="6"/>
  <c r="L46" i="15"/>
  <c r="L52" i="15"/>
  <c r="L31" i="11"/>
  <c r="M31" i="11" s="1"/>
  <c r="L31" i="15"/>
  <c r="L26" i="11"/>
  <c r="M26" i="11" s="1"/>
  <c r="L26" i="15"/>
  <c r="L24" i="11"/>
  <c r="M24" i="11" s="1"/>
  <c r="L24" i="15"/>
  <c r="L72" i="11"/>
  <c r="M72" i="11" s="1"/>
  <c r="L72" i="15"/>
  <c r="L42" i="11"/>
  <c r="M42" i="11" s="1"/>
  <c r="L42" i="15"/>
  <c r="C26" i="14"/>
  <c r="D26" i="14" s="1"/>
  <c r="E26" i="14" s="1"/>
  <c r="L46" i="11"/>
  <c r="M46" i="11" s="1"/>
  <c r="Z103" i="1"/>
  <c r="G147" i="6" s="1"/>
  <c r="Z3" i="1"/>
  <c r="Z49" i="1" s="1"/>
  <c r="F42" i="11" s="1"/>
  <c r="H42" i="11" s="1"/>
  <c r="C27" i="14"/>
  <c r="D27" i="14" s="1"/>
  <c r="E27" i="14" s="1"/>
  <c r="L52" i="11"/>
  <c r="G19" i="6"/>
  <c r="B105" i="10"/>
  <c r="C21" i="14"/>
  <c r="D21" i="14" s="1"/>
  <c r="E21" i="14" s="1"/>
  <c r="B104" i="10"/>
  <c r="C19" i="14"/>
  <c r="J97" i="11"/>
  <c r="G64" i="10"/>
  <c r="G63" i="10"/>
  <c r="G59" i="10"/>
  <c r="G58" i="10"/>
  <c r="G49" i="10"/>
  <c r="G47" i="10"/>
  <c r="G44" i="10"/>
  <c r="G43" i="10"/>
  <c r="G33" i="10"/>
  <c r="G32" i="10"/>
  <c r="F30" i="10"/>
  <c r="F31" i="10"/>
  <c r="F39" i="10"/>
  <c r="F42" i="10"/>
  <c r="F52" i="10"/>
  <c r="G52" i="10" s="1"/>
  <c r="F70" i="10"/>
  <c r="F75" i="10"/>
  <c r="F34" i="11"/>
  <c r="H34" i="11" s="1"/>
  <c r="F35" i="11"/>
  <c r="H35" i="11" s="1"/>
  <c r="F72" i="11"/>
  <c r="H24" i="11"/>
  <c r="H26" i="11"/>
  <c r="H27" i="11"/>
  <c r="H29" i="11"/>
  <c r="H30" i="11"/>
  <c r="H31" i="11"/>
  <c r="H33" i="11"/>
  <c r="G36" i="11"/>
  <c r="H36" i="11"/>
  <c r="G37" i="11"/>
  <c r="H37" i="11" s="1"/>
  <c r="H38" i="11"/>
  <c r="H39" i="11"/>
  <c r="H40" i="11"/>
  <c r="H41" i="11"/>
  <c r="F43" i="11"/>
  <c r="H43" i="11" s="1"/>
  <c r="H45" i="11"/>
  <c r="F46" i="11"/>
  <c r="H46" i="11" s="1"/>
  <c r="G47" i="11"/>
  <c r="H47" i="11" s="1"/>
  <c r="G48" i="11"/>
  <c r="H48" i="11"/>
  <c r="H49" i="11"/>
  <c r="H50" i="11"/>
  <c r="G51" i="11"/>
  <c r="H51" i="11" s="1"/>
  <c r="G52" i="11"/>
  <c r="H52" i="11" s="1"/>
  <c r="F53" i="11"/>
  <c r="G53" i="11" s="1"/>
  <c r="H53" i="11" s="1"/>
  <c r="H54" i="11"/>
  <c r="H56" i="11"/>
  <c r="F57" i="11"/>
  <c r="G57" i="11" s="1"/>
  <c r="H58" i="11"/>
  <c r="H59" i="11"/>
  <c r="H60" i="11"/>
  <c r="H61" i="11"/>
  <c r="H62" i="11"/>
  <c r="G63" i="11"/>
  <c r="H63" i="11"/>
  <c r="G64" i="11"/>
  <c r="H64" i="11" s="1"/>
  <c r="H65" i="11"/>
  <c r="H66" i="11"/>
  <c r="H67" i="11"/>
  <c r="G68" i="11"/>
  <c r="H68" i="11" s="1"/>
  <c r="G69" i="11"/>
  <c r="H69" i="11" s="1"/>
  <c r="H71" i="11"/>
  <c r="H73" i="11"/>
  <c r="H74" i="11"/>
  <c r="H76" i="11"/>
  <c r="H77" i="11"/>
  <c r="H78" i="11"/>
  <c r="H81" i="11"/>
  <c r="F82" i="11"/>
  <c r="H82" i="11" s="1"/>
  <c r="H84" i="11"/>
  <c r="H85" i="11"/>
  <c r="H87" i="11"/>
  <c r="H89" i="11"/>
  <c r="H91" i="11"/>
  <c r="H93" i="11"/>
  <c r="H94" i="11"/>
  <c r="F76" i="10"/>
  <c r="F84" i="10"/>
  <c r="G27" i="6" l="1"/>
  <c r="G59" i="6" s="1"/>
  <c r="G65" i="6" s="1"/>
  <c r="F42" i="15"/>
  <c r="H42" i="15" s="1"/>
  <c r="F38" i="10"/>
  <c r="H31" i="12"/>
  <c r="F25" i="15"/>
  <c r="H25" i="15" s="1"/>
  <c r="F83" i="11"/>
  <c r="H83" i="11" s="1"/>
  <c r="F83" i="15"/>
  <c r="H83" i="15" s="1"/>
  <c r="L97" i="11"/>
  <c r="M97" i="11" s="1"/>
  <c r="M52" i="11"/>
  <c r="C29" i="14"/>
  <c r="L97" i="15"/>
  <c r="C22" i="14"/>
  <c r="F21" i="10"/>
  <c r="D19" i="14"/>
  <c r="E19" i="14" s="1"/>
  <c r="F25" i="11"/>
  <c r="H25" i="11" s="1"/>
  <c r="H57" i="11"/>
  <c r="B101" i="10"/>
  <c r="H90" i="11"/>
  <c r="I90" i="11" s="1"/>
  <c r="H72" i="11"/>
  <c r="B7" i="15" l="1"/>
  <c r="B9" i="15" s="1"/>
  <c r="M9" i="15" s="1"/>
  <c r="M16" i="15" s="1"/>
  <c r="H95" i="11"/>
  <c r="H96" i="11"/>
  <c r="C17" i="11"/>
  <c r="B115" i="11"/>
  <c r="E97" i="11"/>
  <c r="C14" i="11"/>
  <c r="B94" i="10"/>
  <c r="F48" i="10"/>
  <c r="G48" i="10" s="1"/>
  <c r="G90" i="10" s="1"/>
  <c r="F22" i="10"/>
  <c r="B97" i="10"/>
  <c r="G103" i="6" l="1"/>
  <c r="G104" i="6" s="1"/>
  <c r="B103" i="10"/>
  <c r="F20" i="10"/>
  <c r="F32" i="11"/>
  <c r="H32" i="11" s="1"/>
  <c r="F28" i="10"/>
  <c r="F44" i="11"/>
  <c r="H44" i="11" s="1"/>
  <c r="F40" i="10"/>
  <c r="B100" i="10"/>
  <c r="F81" i="10"/>
  <c r="B102" i="10"/>
  <c r="B99" i="10"/>
  <c r="B113" i="11"/>
  <c r="F88" i="11" l="1"/>
  <c r="H88" i="11" s="1"/>
  <c r="H97" i="11" s="1"/>
  <c r="F88" i="15"/>
  <c r="C49" i="14"/>
  <c r="B4" i="11"/>
  <c r="F90" i="10"/>
  <c r="G97" i="11"/>
  <c r="B96" i="10"/>
  <c r="H48" i="10"/>
  <c r="B95" i="10"/>
  <c r="H20" i="10"/>
  <c r="H38" i="10"/>
  <c r="H58" i="10"/>
  <c r="H31" i="10"/>
  <c r="E90" i="10"/>
  <c r="H83" i="10"/>
  <c r="H82" i="10"/>
  <c r="H81" i="10"/>
  <c r="H80" i="10"/>
  <c r="H79" i="10"/>
  <c r="H76" i="10"/>
  <c r="H75" i="10"/>
  <c r="H72" i="10"/>
  <c r="H71" i="10"/>
  <c r="H69" i="10"/>
  <c r="H68" i="10"/>
  <c r="H67" i="10"/>
  <c r="H64" i="10"/>
  <c r="H63" i="10"/>
  <c r="H62" i="10"/>
  <c r="H61" i="10"/>
  <c r="H60" i="10"/>
  <c r="H59" i="10"/>
  <c r="H55" i="10"/>
  <c r="H52" i="10"/>
  <c r="H49" i="10"/>
  <c r="H47" i="10"/>
  <c r="H46" i="10"/>
  <c r="H45" i="10"/>
  <c r="H44" i="10"/>
  <c r="H43" i="10"/>
  <c r="H42" i="10"/>
  <c r="H41" i="10"/>
  <c r="H40" i="10"/>
  <c r="H39" i="10"/>
  <c r="H35" i="10"/>
  <c r="H34" i="10"/>
  <c r="H33" i="10"/>
  <c r="H32" i="10"/>
  <c r="C32" i="10"/>
  <c r="H30" i="10"/>
  <c r="H29" i="10"/>
  <c r="H28" i="10"/>
  <c r="H27" i="10"/>
  <c r="H26" i="10"/>
  <c r="H25" i="10"/>
  <c r="H24" i="10"/>
  <c r="H23" i="10"/>
  <c r="H22" i="10"/>
  <c r="H21" i="10"/>
  <c r="D13" i="10"/>
  <c r="C13" i="10"/>
  <c r="B15" i="10" s="1"/>
  <c r="B7" i="10"/>
  <c r="F97" i="11" l="1"/>
  <c r="D113" i="11" s="1"/>
  <c r="C114" i="11" s="1"/>
  <c r="H88" i="15"/>
  <c r="H97" i="15" s="1"/>
  <c r="F97" i="15"/>
  <c r="D113" i="15" s="1"/>
  <c r="C114" i="15" s="1"/>
  <c r="D49" i="14"/>
  <c r="E49" i="14" s="1"/>
  <c r="C50" i="14"/>
  <c r="D50" i="14" s="1"/>
  <c r="E50" i="14" s="1"/>
  <c r="B8" i="11"/>
  <c r="B106" i="10"/>
  <c r="D106" i="10"/>
  <c r="C107" i="10" l="1"/>
  <c r="H70" i="10"/>
  <c r="H90" i="10" s="1"/>
  <c r="E92" i="10" s="1"/>
  <c r="P60" i="8" l="1"/>
  <c r="X133" i="1" l="1"/>
  <c r="Y133" i="1"/>
  <c r="P50" i="8" l="1"/>
  <c r="P25" i="8"/>
  <c r="P12" i="8"/>
  <c r="B7" i="11" l="1"/>
  <c r="B9" i="11" s="1"/>
  <c r="C15" i="11" l="1"/>
  <c r="M15" i="11" s="1"/>
  <c r="M9" i="11"/>
  <c r="C16" i="11" l="1"/>
  <c r="C18" i="11" l="1"/>
  <c r="M1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tc={A29D59DD-46B2-4A20-80C1-F972372DAE88}</author>
    <author>tc={069C8982-F3F5-4575-B9C6-6E06BF4095DC}</author>
    <author>tc={04F4B100-2399-4723-8E87-AFE1313EE5B4}</author>
    <author>tc={67F2D0A4-12D0-42CC-B054-E038832E4653}</author>
    <author>tc={6BB831D3-2BE7-4762-A03A-B8F67729DCA4}</author>
    <author>Parish Clerk</author>
    <author>tc={BECAF465-8FC4-4789-B0F4-58454D7466FC}</author>
    <author>tc={E43D17EA-DB1C-42BA-A304-64FB9929DE2C}</author>
    <author>tc={F764230F-2CB6-4D7A-A547-B58AA809D957}</author>
    <author>tc={3BCD164A-0790-42C0-A17F-96E3027FBE1D}</author>
    <author>tc={C57427BA-9A86-4595-B609-C86A451AC855}</author>
    <author>tc={9317AD05-9A0B-4660-9670-2E8FD23948E7}</author>
    <author>tc={49B57393-4B76-45A5-8326-D5109D09DF2C}</author>
    <author>tc={47BD6831-6C0C-481D-BB22-0959EE4811BE}</author>
    <author>tc={DB3B130E-A691-4784-957A-FFA70F4B5181}</author>
  </authors>
  <commentList>
    <comment ref="P3" authorId="0" shapeId="0" xr:uid="{A29D59DD-46B2-4A20-80C1-F972372DAE88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More interest as moved monies into a savings account 				
</t>
      </text>
    </comment>
    <comment ref="T3" authorId="1" shapeId="0" xr:uid="{069C8982-F3F5-4575-B9C6-6E06BF4095DC}">
      <text>
        <t>[Threaded comment]
Your version of Excel allows you to read this threaded comment; however, any edits to it will get removed if the file is opened in a newer version of Excel. Learn more: https://go.microsoft.com/fwlink/?linkid=870924
Comment:
    Less interest if reserves spent on traffic calming measures</t>
      </text>
    </comment>
    <comment ref="T4" authorId="2" shapeId="0" xr:uid="{04F4B100-2399-4723-8E87-AFE1313EE5B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5% increase. RPI 4.5% to August 2025. Council Tax this year £128.21,Next year £137.90, a yearly increase of £9.69, 0.80p a month.  </t>
      </text>
    </comment>
    <comment ref="R6" authorId="3" shapeId="0" xr:uid="{67F2D0A4-12D0-42CC-B054-E038832E465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Surplus income </t>
      </text>
    </comment>
    <comment ref="T9" authorId="4" shapeId="0" xr:uid="{6BB831D3-2BE7-4762-A03A-B8F67729DCA4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Increment in May (CiLCA) - to be agreed by Council &amp; national pay award, assume 3.5% increase (below RPI as this year) </t>
      </text>
    </comment>
    <comment ref="K10" authorId="5" shapeId="0" xr:uid="{DD110FEF-CD1E-4752-8B0B-9045E0508565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Not budeted for in 24/25</t>
        </r>
      </text>
    </comment>
    <comment ref="T10" authorId="6" shapeId="0" xr:uid="{BECAF465-8FC4-4789-B0F4-58454D7466FC}">
      <text>
        <t>[Threaded comment]
Your version of Excel allows you to read this threaded comment; however, any edits to it will get removed if the file is opened in a newer version of Excel. Learn more: https://go.microsoft.com/fwlink/?linkid=870924
Comment:
    15% over £5,000</t>
      </text>
    </comment>
    <comment ref="H11" authorId="5" shapeId="0" xr:uid="{E1F7DAAB-2B70-4729-BAFA-AB00392AFBED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Commenced 1 July 2024</t>
        </r>
      </text>
    </comment>
    <comment ref="K11" authorId="5" shapeId="0" xr:uid="{B7F0C9F7-C8DE-4323-A5C0-BA6084E82FB1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Not budgeted for in 2024/25</t>
        </r>
      </text>
    </comment>
    <comment ref="T11" authorId="7" shapeId="0" xr:uid="{E43D17EA-DB1C-42BA-A304-64FB9929DE2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21.7 % gross income </t>
      </text>
    </comment>
    <comment ref="P12" authorId="8" shapeId="0" xr:uid="{F764230F-2CB6-4D7A-A547-B58AA809D95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Included in salary	
</t>
      </text>
    </comment>
    <comment ref="P13" authorId="9" shapeId="0" xr:uid="{3BCD164A-0790-42C0-A17F-96E3027FBE1D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Included in salary	
</t>
      </text>
    </comment>
    <comment ref="R14" authorId="10" shapeId="0" xr:uid="{C57427BA-9A86-4595-B609-C86A451AC85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Less milage and Clerk pays not increased beyound the national pay award. 						
</t>
      </text>
    </comment>
    <comment ref="L16" authorId="5" shapeId="0" xr:uid="{F5FDE55A-03F8-4202-8471-9A46F13A436E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6*£18</t>
        </r>
      </text>
    </comment>
    <comment ref="H18" authorId="5" shapeId="0" xr:uid="{3CBF1592-01CB-4FBE-8794-A403889D20E1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Not invoiced yet</t>
        </r>
      </text>
    </comment>
    <comment ref="H19" authorId="5" shapeId="0" xr:uid="{5D348439-4744-44DF-9D7D-9EF21F001A0A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Not invoiced yet </t>
        </r>
      </text>
    </comment>
    <comment ref="H20" authorId="5" shapeId="0" xr:uid="{209606E6-528A-45EF-B8B3-EC64ABA14606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Not invoiced yet</t>
        </r>
      </text>
    </comment>
    <comment ref="P21" authorId="11" shapeId="0" xr:uid="{9317AD05-9A0B-4660-9670-2E8FD23948E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Includes new dog bin 	
</t>
      </text>
    </comment>
    <comment ref="R35" authorId="12" shapeId="0" xr:uid="{49B57393-4B76-45A5-8326-D5109D09DF2C}">
      <text>
        <t>[Threaded comment]
Your version of Excel allows you to read this threaded comment; however, any edits to it will get removed if the file is opened in a newer version of Excel. Learn more: https://go.microsoft.com/fwlink/?linkid=870924
Comment:
    New IT infrastructure</t>
      </text>
    </comment>
    <comment ref="F50" authorId="5" shapeId="0" xr:uid="{C48BC91B-6204-4CDF-BC88-DFD35B066C9A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Tree £465 &amp; lights £345</t>
        </r>
      </text>
    </comment>
    <comment ref="F56" authorId="5" shapeId="0" xr:uid="{5B09A355-D0C3-4468-9A94-D71C54E4391A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Includes CilCa £450 and mentoring £275</t>
        </r>
      </text>
    </comment>
    <comment ref="I56" authorId="5" shapeId="0" xr:uid="{42665738-6D50-4DBD-A2DF-5C7A0B3B7D97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CiLCA mentoring </t>
        </r>
      </text>
    </comment>
    <comment ref="F61" authorId="5" shapeId="0" xr:uid="{34890F5C-B903-4D13-B85D-9A4DD54EA20B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Includes new Qwerty keyboard</t>
        </r>
      </text>
    </comment>
    <comment ref="F68" authorId="5" shapeId="0" xr:uid="{F3823FAF-B455-4048-9F0B-8A66876B9C40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Spent on EV charging</t>
        </r>
      </text>
    </comment>
    <comment ref="T70" authorId="13" shapeId="0" xr:uid="{47BD6831-6C0C-481D-BB22-0959EE4811BE}">
      <text>
        <t>[Threaded comment]
Your version of Excel allows you to read this threaded comment; however, any edits to it will get removed if the file is opened in a newer version of Excel. Learn more: https://go.microsoft.com/fwlink/?linkid=870924
Comment:
    To build up a fund to help replace the playground in 10+ years time</t>
      </text>
    </comment>
    <comment ref="T71" authorId="14" shapeId="0" xr:uid="{DB3B130E-A691-4784-957A-FFA70F4B5181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General maintenance 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tc={18196824-1B44-46B4-85CA-4E7E0CDDC623}</author>
    <author>tc={10CEFB4B-3F38-46E6-B164-B7D26DC04D9F}</author>
    <author>Parish Clerk</author>
    <author>tc={156FFF80-082E-4A57-85D7-5A8C00807496}</author>
    <author>tc={8C039873-DC8E-41E9-8E9B-A41A676B320B}</author>
    <author>tc={72AF067F-EFBC-4367-B8A6-417EE5ABEAC6}</author>
    <author>tc={CFFB8E92-C7B3-409C-99D8-35C39E9A493A}</author>
    <author>tc={79B59DC9-3E15-417A-AF10-304DA9862A4F}</author>
    <author>tc={8212C2F5-4C26-4B78-9761-3A1462C86D75}</author>
    <author>tc={80472C1D-3FC4-47A1-A94C-5D12682DFDD9}</author>
    <author>tc={7A0AED0C-397E-4829-95D6-C3203B4158E1}</author>
    <author>tc={E59C9CF7-D15D-4A05-B351-867A954A98DE}</author>
    <author>tc={09E8AF09-23A7-4EBC-9BEC-50B6D0943DE0}</author>
  </authors>
  <commentList>
    <comment ref="P3" authorId="0" shapeId="0" xr:uid="{18196824-1B44-46B4-85CA-4E7E0CDDC62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More interest as moved monies into a savings account 				
</t>
      </text>
    </comment>
    <comment ref="R6" authorId="1" shapeId="0" xr:uid="{10CEFB4B-3F38-46E6-B164-B7D26DC04D9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Surplus income </t>
      </text>
    </comment>
    <comment ref="K10" authorId="2" shapeId="0" xr:uid="{68A4F420-C8EA-44EA-B212-B177828AA1D3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Not budeted for in 24/25</t>
        </r>
      </text>
    </comment>
    <comment ref="V10" authorId="3" shapeId="0" xr:uid="{156FFF80-082E-4A57-85D7-5A8C00807496}">
      <text>
        <t>[Threaded comment]
Your version of Excel allows you to read this threaded comment; however, any edits to it will get removed if the file is opened in a newer version of Excel. Learn more: https://go.microsoft.com/fwlink/?linkid=870924
Comment:
    Lower as credit on account from overpayment last year.</t>
      </text>
    </comment>
    <comment ref="H11" authorId="2" shapeId="0" xr:uid="{46418B79-B925-4A20-87F7-AF83E1AA8D80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Commenced 1 July 2024</t>
        </r>
      </text>
    </comment>
    <comment ref="K11" authorId="2" shapeId="0" xr:uid="{660EEA96-E843-4DC1-A295-9BFF8A62D814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Not budgeted for in 2024/25</t>
        </r>
      </text>
    </comment>
    <comment ref="P12" authorId="4" shapeId="0" xr:uid="{8C039873-DC8E-41E9-8E9B-A41A676B320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Included in salary	
</t>
      </text>
    </comment>
    <comment ref="P13" authorId="5" shapeId="0" xr:uid="{72AF067F-EFBC-4367-B8A6-417EE5ABEAC6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Included in salary	
</t>
      </text>
    </comment>
    <comment ref="R14" authorId="6" shapeId="0" xr:uid="{CFFB8E92-C7B3-409C-99D8-35C39E9A493A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Less milage and Clerk pays not increased beyound the national pay award. 						
</t>
      </text>
    </comment>
    <comment ref="L16" authorId="2" shapeId="0" xr:uid="{65D6CA60-7184-4A75-9F5E-3892B7973157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6*£18</t>
        </r>
      </text>
    </comment>
    <comment ref="V16" authorId="7" shapeId="0" xr:uid="{79B59DC9-3E15-417A-AF10-304DA9862A4F}">
      <text>
        <t>[Threaded comment]
Your version of Excel allows you to read this threaded comment; however, any edits to it will get removed if the file is opened in a newer version of Excel. Learn more: https://go.microsoft.com/fwlink/?linkid=870924
Comment:
    4 cheques to be written in September</t>
      </text>
    </comment>
    <comment ref="H18" authorId="2" shapeId="0" xr:uid="{78FABD4A-D097-4DB8-8800-E1E3DA6615F0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Not invoiced yet</t>
        </r>
      </text>
    </comment>
    <comment ref="H19" authorId="2" shapeId="0" xr:uid="{A1667CB3-D604-41BC-9484-F335D2AE3714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Not invoiced yet </t>
        </r>
      </text>
    </comment>
    <comment ref="H20" authorId="2" shapeId="0" xr:uid="{65CB6307-5F89-4565-A7F6-1609C27B8805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Not invoiced yet</t>
        </r>
      </text>
    </comment>
    <comment ref="P21" authorId="8" shapeId="0" xr:uid="{8212C2F5-4C26-4B78-9761-3A1462C86D7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Includes new dog bin 	
</t>
      </text>
    </comment>
    <comment ref="V33" authorId="9" shapeId="0" xr:uid="{80472C1D-3FC4-47A1-A94C-5D12682DFDD9}">
      <text>
        <t>[Threaded comment]
Your version of Excel allows you to read this threaded comment; however, any edits to it will get removed if the file is opened in a newer version of Excel. Learn more: https://go.microsoft.com/fwlink/?linkid=870924
Comment:
    Microshade sold to another company and and costs up 30% with no extra benefit</t>
      </text>
    </comment>
    <comment ref="R35" authorId="10" shapeId="0" xr:uid="{7A0AED0C-397E-4829-95D6-C3203B4158E1}">
      <text>
        <t>[Threaded comment]
Your version of Excel allows you to read this threaded comment; however, any edits to it will get removed if the file is opened in a newer version of Excel. Learn more: https://go.microsoft.com/fwlink/?linkid=870924
Comment:
    New IT infrastructure</t>
      </text>
    </comment>
    <comment ref="F50" authorId="2" shapeId="0" xr:uid="{BD13C13A-3334-464A-9451-BB4EC8F3547B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Tree £465 &amp; lights £345</t>
        </r>
      </text>
    </comment>
    <comment ref="F56" authorId="2" shapeId="0" xr:uid="{572DCF82-665A-45BB-B5CC-9E4126C8864D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Includes CilCa £450 and mentoring £275</t>
        </r>
      </text>
    </comment>
    <comment ref="I56" authorId="2" shapeId="0" xr:uid="{583FF1F0-5AE0-436C-A834-5DC180C79C87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CiLCA mentoring </t>
        </r>
      </text>
    </comment>
    <comment ref="F61" authorId="2" shapeId="0" xr:uid="{5F7EF3F9-091D-4E94-B9C7-8A86D62AAC82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Includes new Qwerty keyboard</t>
        </r>
      </text>
    </comment>
    <comment ref="F67" authorId="2" shapeId="0" xr:uid="{D5A7E87C-812D-450F-80E1-88DBE80B3A92}">
      <text>
        <r>
          <rPr>
            <b/>
            <sz val="9"/>
            <color indexed="81"/>
            <rFont val="Tahoma"/>
            <family val="2"/>
          </rPr>
          <t>Parish Clerk:</t>
        </r>
        <r>
          <rPr>
            <sz val="9"/>
            <color indexed="81"/>
            <rFont val="Tahoma"/>
            <family val="2"/>
          </rPr>
          <t xml:space="preserve">
Spent on EV charging</t>
        </r>
      </text>
    </comment>
    <comment ref="T69" authorId="11" shapeId="0" xr:uid="{E59C9CF7-D15D-4A05-B351-867A954A98DE}">
      <text>
        <t>[Threaded comment]
Your version of Excel allows you to read this threaded comment; however, any edits to it will get removed if the file is opened in a newer version of Excel. Learn more: https://go.microsoft.com/fwlink/?linkid=870924
Comment:
    To build up a fund to help replace the playground in 10+ years time</t>
      </text>
    </comment>
    <comment ref="T70" authorId="12" shapeId="0" xr:uid="{09E8AF09-23A7-4EBC-9BEC-50B6D0943DE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General maintenance </t>
      </text>
    </comment>
  </commentList>
</comments>
</file>

<file path=xl/sharedStrings.xml><?xml version="1.0" encoding="utf-8"?>
<sst xmlns="http://schemas.openxmlformats.org/spreadsheetml/2006/main" count="1285" uniqueCount="603">
  <si>
    <t>VAT</t>
  </si>
  <si>
    <t>Amount</t>
  </si>
  <si>
    <t>Type</t>
  </si>
  <si>
    <t>Period</t>
  </si>
  <si>
    <t>Cheque</t>
  </si>
  <si>
    <t>Date</t>
  </si>
  <si>
    <t>Non VAT</t>
  </si>
  <si>
    <t>HMRC</t>
  </si>
  <si>
    <t xml:space="preserve">Regular or One-Off </t>
  </si>
  <si>
    <t>Monthly</t>
  </si>
  <si>
    <t xml:space="preserve"> </t>
  </si>
  <si>
    <t>Dog Bin Emptying</t>
  </si>
  <si>
    <t>£</t>
  </si>
  <si>
    <t>OALC</t>
  </si>
  <si>
    <t>Otmoor Flyer</t>
  </si>
  <si>
    <t>Lights</t>
  </si>
  <si>
    <t>Grass</t>
  </si>
  <si>
    <t>Recreation Ground</t>
  </si>
  <si>
    <t>Training</t>
  </si>
  <si>
    <t>Administration Payments</t>
  </si>
  <si>
    <t>Expenses</t>
  </si>
  <si>
    <t>Subscriptions</t>
  </si>
  <si>
    <t>Wages</t>
  </si>
  <si>
    <t>S:137</t>
  </si>
  <si>
    <t>Play</t>
  </si>
  <si>
    <t xml:space="preserve">Other </t>
  </si>
  <si>
    <t>From Whom</t>
  </si>
  <si>
    <t>Description</t>
  </si>
  <si>
    <t>Scottish Widows Deposit Account</t>
  </si>
  <si>
    <t>Less</t>
  </si>
  <si>
    <t xml:space="preserve">Unpresented Cheques </t>
  </si>
  <si>
    <t>Balance @ 30 June- as reconciled</t>
  </si>
  <si>
    <t>Cash Book</t>
  </si>
  <si>
    <t>Balance b/fwd</t>
  </si>
  <si>
    <t>Add Total Receipts</t>
  </si>
  <si>
    <t>Less Total Payments</t>
  </si>
  <si>
    <t>Balance c/fwd</t>
  </si>
  <si>
    <t>Balance @ 30 September - as reconciled</t>
  </si>
  <si>
    <t>Balance @ 31 December- as reconciled</t>
  </si>
  <si>
    <t xml:space="preserve">  </t>
  </si>
  <si>
    <r>
      <t>Insurance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Value </t>
    </r>
  </si>
  <si>
    <t xml:space="preserve"> * Original cost </t>
  </si>
  <si>
    <t>at 31/03/11</t>
  </si>
  <si>
    <t xml:space="preserve">(or estimate)  </t>
  </si>
  <si>
    <t xml:space="preserve"> (£)</t>
  </si>
  <si>
    <t>(£)</t>
  </si>
  <si>
    <t>Located by the Village Hall, Middle Street</t>
  </si>
  <si>
    <t>Multi Activity Unit; Mulch safety surface, trim trail purchased 2017</t>
  </si>
  <si>
    <t>estimate</t>
  </si>
  <si>
    <t>plain benches</t>
  </si>
  <si>
    <t>War Memorial</t>
  </si>
  <si>
    <t>Street furniture</t>
  </si>
  <si>
    <t>Stone Bus Shelter located on B4027, adjacent to SSJ Recreation Ground.</t>
  </si>
  <si>
    <t>Wooden Bus Shelter located on B4027, opposite to Cox Lane junction.</t>
  </si>
  <si>
    <t>2 metal name signs on the B4027 and one on the Menmarsh Road.</t>
  </si>
  <si>
    <t>2 teak benches, Located at the Millennium Green/Village Hall, Middle Road purchased September 2003 for £1,124.25.</t>
  </si>
  <si>
    <t>One seat disposed in April-19</t>
  </si>
  <si>
    <r>
      <t>Low-level lights located as follows:</t>
    </r>
    <r>
      <rPr>
        <b/>
        <sz val="11"/>
        <color theme="1"/>
        <rFont val="Arial"/>
        <family val="2"/>
      </rPr>
      <t xml:space="preserve"> </t>
    </r>
  </si>
  <si>
    <t xml:space="preserve">            Wall-mounted fitting on 8, Hillcraft Road, erected 1991, (estimated £185 in 2013)</t>
  </si>
  <si>
    <t xml:space="preserve">            Post-mounted fitting outside Wynburgh, Pound Lane, erected 2015 </t>
  </si>
  <si>
    <t xml:space="preserve">            Post-mounted fitting outside 1, Stanton Cottages, Middle Rd, erected 1992 (estimated £185 in 2013)</t>
  </si>
  <si>
    <t xml:space="preserve">            Wall-mounted fitting outside The Stable House, Mill Street, erected 1991</t>
  </si>
  <si>
    <t xml:space="preserve">            Light fitting outside Mill House, Jul 2013</t>
  </si>
  <si>
    <t>Seat at bus stop Wheatley Road approx 1986</t>
  </si>
  <si>
    <t>Street name signs 1990s X 18 (estimated £100 each in 2014)</t>
  </si>
  <si>
    <t>Bollards outside village hall 2014</t>
  </si>
  <si>
    <t>Bollards Pound Lane 2015</t>
  </si>
  <si>
    <t>Mirror opposite Talkhouse 2016</t>
  </si>
  <si>
    <t>Village sign 2017</t>
  </si>
  <si>
    <t>VAS sign 2017</t>
  </si>
  <si>
    <t>Defibrillator (iPad) &amp; DejfibSafe 2 Cabinet</t>
  </si>
  <si>
    <t xml:space="preserve">1 Cast Iron Framed Seat (outside the shop) </t>
  </si>
  <si>
    <t>2 Removable Bollards (entrance to the village hall car park)</t>
  </si>
  <si>
    <t>2 Steel Padlocks (for the Bollards at the entrance to the village hall car park)</t>
  </si>
  <si>
    <t>Total street furniture</t>
  </si>
  <si>
    <t xml:space="preserve">                                   </t>
  </si>
  <si>
    <t>Land and Property</t>
  </si>
  <si>
    <t>Playground, car park and Village Hall 2000 Title reference ON224924</t>
  </si>
  <si>
    <t>Recreation ground lease</t>
  </si>
  <si>
    <t>Total land and property</t>
  </si>
  <si>
    <t>Laptop (HP 250 G6 Laptop, Intel Core i-7-7500U)</t>
  </si>
  <si>
    <t>Total Office Equipment</t>
  </si>
  <si>
    <t>TOTAL ASSETS</t>
  </si>
  <si>
    <r>
      <t xml:space="preserve">*PLEASE NOTE: </t>
    </r>
    <r>
      <rPr>
        <sz val="11"/>
        <color theme="1"/>
        <rFont val="Arial"/>
        <family val="2"/>
      </rPr>
      <t>As requested by the Audit Commission, the estimated market value has been replaced by the original value (or,</t>
    </r>
  </si>
  <si>
    <t xml:space="preserve"> if this is unknown, an estimate of current value) and the latter figures have been entered in the 2015/16 audit figures</t>
  </si>
  <si>
    <t>VAS sign 2021</t>
  </si>
  <si>
    <t>Office &amp; Village Hall Equipment</t>
  </si>
  <si>
    <t>Village Hall Sound System (installed 2021)</t>
  </si>
  <si>
    <t>Village Hall Curtains (fitted 2021)</t>
  </si>
  <si>
    <t>Parish Christmas Decorations</t>
  </si>
  <si>
    <t>Included as paid for</t>
  </si>
  <si>
    <t xml:space="preserve">New Village Hall Notice Board </t>
  </si>
  <si>
    <t xml:space="preserve">Jubilee expenses </t>
  </si>
  <si>
    <t>Draft Budget Tracker for Stanton St John Parish Council 2022/23</t>
  </si>
  <si>
    <t xml:space="preserve">Expected Income </t>
  </si>
  <si>
    <t>Actual Income</t>
  </si>
  <si>
    <t>Budget Allocation</t>
  </si>
  <si>
    <t xml:space="preserve">Actual Expenditure </t>
  </si>
  <si>
    <t>Anticipated Future Expenditure</t>
  </si>
  <si>
    <t>Budget Remaining</t>
  </si>
  <si>
    <t>Bank Account Balance</t>
  </si>
  <si>
    <t>Opening Balance April 2022</t>
  </si>
  <si>
    <t>- Deposit Account</t>
  </si>
  <si>
    <t>- Savings Account</t>
  </si>
  <si>
    <t xml:space="preserve"> -Unbanked Cheques</t>
  </si>
  <si>
    <t>Carried Forward Balance</t>
  </si>
  <si>
    <t>INCOME</t>
  </si>
  <si>
    <t>Precept SODC  (April &amp; Sept Payments)</t>
  </si>
  <si>
    <t>VAT Rebate (Manual Claim)</t>
  </si>
  <si>
    <t xml:space="preserve">Grants  - SODC VH Chairs </t>
  </si>
  <si>
    <t>Total Income</t>
  </si>
  <si>
    <t>Budgeted Money Available to Spend</t>
  </si>
  <si>
    <t>(would never plan to spend all funds)</t>
  </si>
  <si>
    <t>EXPENDITURE</t>
  </si>
  <si>
    <t>Administration</t>
  </si>
  <si>
    <t>Clerks Salary</t>
  </si>
  <si>
    <t>Administative Support</t>
  </si>
  <si>
    <t>HMRC Payments</t>
  </si>
  <si>
    <t>Clerks Building Insurance</t>
  </si>
  <si>
    <t>Working From Home Allowance</t>
  </si>
  <si>
    <t>Clerks Training</t>
  </si>
  <si>
    <t>Mileage</t>
  </si>
  <si>
    <t>Stationary &amp; Postage</t>
  </si>
  <si>
    <t>Printing</t>
  </si>
  <si>
    <t>Books</t>
  </si>
  <si>
    <t>Councillors Training</t>
  </si>
  <si>
    <t>Parish Council Insurance</t>
  </si>
  <si>
    <t>Refreshments</t>
  </si>
  <si>
    <t>Microsoft Licenses</t>
  </si>
  <si>
    <t>Antivirus Licenses</t>
  </si>
  <si>
    <t>Miscellaneous</t>
  </si>
  <si>
    <t>Maintainence &amp; Parks</t>
  </si>
  <si>
    <t>Footlight Payments</t>
  </si>
  <si>
    <t>Footlight Maintainence</t>
  </si>
  <si>
    <t>Playarea Annual Inspection</t>
  </si>
  <si>
    <t>Playarea Monthly Inpections</t>
  </si>
  <si>
    <t>Playground Maintenance</t>
  </si>
  <si>
    <t>Grass Cutting Playarea</t>
  </si>
  <si>
    <t>Adhoc Vegetation Maintenance</t>
  </si>
  <si>
    <t>Snow Ploughing (£85ph)</t>
  </si>
  <si>
    <t>Winter Gritting (£30ph)</t>
  </si>
  <si>
    <t>Playing Field Rent</t>
  </si>
  <si>
    <t>Refuse Collections</t>
  </si>
  <si>
    <t>Transport</t>
  </si>
  <si>
    <t>Communications</t>
  </si>
  <si>
    <t>Website Support</t>
  </si>
  <si>
    <t>Open Spaces Society</t>
  </si>
  <si>
    <t>Oxford Green Belt Network</t>
  </si>
  <si>
    <t>Community First Oxfordshire</t>
  </si>
  <si>
    <t>CommuniCorp</t>
  </si>
  <si>
    <t>CPRE</t>
  </si>
  <si>
    <t>BBOWT</t>
  </si>
  <si>
    <t>Donations</t>
  </si>
  <si>
    <t>Adhoc Donations</t>
  </si>
  <si>
    <t>Wheatly Park Prize Giving</t>
  </si>
  <si>
    <t>Citizen Advice</t>
  </si>
  <si>
    <t>The Maple Tree</t>
  </si>
  <si>
    <t>Oxfordshire Childrens Air Ambulance</t>
  </si>
  <si>
    <t>Churchyard Maint Donation</t>
  </si>
  <si>
    <t>Audit Fees</t>
  </si>
  <si>
    <t>Internal Auditor</t>
  </si>
  <si>
    <t>External Auditor</t>
  </si>
  <si>
    <t>Projects</t>
  </si>
  <si>
    <t>Traffic Project</t>
  </si>
  <si>
    <t>Village Hall Roof Project</t>
  </si>
  <si>
    <t>Village Hall Chair Project</t>
  </si>
  <si>
    <t>CIL Project (protected must be spent on CIL project)</t>
  </si>
  <si>
    <t>Contingency</t>
  </si>
  <si>
    <t>Maintenance &amp; Parks</t>
  </si>
  <si>
    <t>General </t>
  </si>
  <si>
    <t xml:space="preserve">Totals </t>
  </si>
  <si>
    <t>Check Calculation</t>
  </si>
  <si>
    <t>Buddget Allocation = Actual Expenditure + Anticipated Future Expenditure + Budget Remaining</t>
  </si>
  <si>
    <t>April Payments</t>
  </si>
  <si>
    <t xml:space="preserve">May Payments </t>
  </si>
  <si>
    <t>June Payments</t>
  </si>
  <si>
    <t>July Payments</t>
  </si>
  <si>
    <t>August Payments</t>
  </si>
  <si>
    <t>September Payments</t>
  </si>
  <si>
    <t>October Payments</t>
  </si>
  <si>
    <t>November Payments</t>
  </si>
  <si>
    <t>December Payments</t>
  </si>
  <si>
    <t>January Payments</t>
  </si>
  <si>
    <t>February Payments</t>
  </si>
  <si>
    <t>March Payments</t>
  </si>
  <si>
    <t>April Receipts (1st April Interest in 2021/22 A/Cs)</t>
  </si>
  <si>
    <t>May Receipts</t>
  </si>
  <si>
    <t>June Receipts</t>
  </si>
  <si>
    <t>July Receipts</t>
  </si>
  <si>
    <t>August Receipts</t>
  </si>
  <si>
    <t>September Receipts</t>
  </si>
  <si>
    <t>October Receipts</t>
  </si>
  <si>
    <t>November Receipts</t>
  </si>
  <si>
    <t>December Receipts</t>
  </si>
  <si>
    <t>January Receipts</t>
  </si>
  <si>
    <t>February Receipts</t>
  </si>
  <si>
    <t>March Receipts</t>
  </si>
  <si>
    <t xml:space="preserve">Variance </t>
  </si>
  <si>
    <t>Total payments</t>
  </si>
  <si>
    <t xml:space="preserve">Check each month against  Actual Expenditure </t>
  </si>
  <si>
    <t>Interest</t>
  </si>
  <si>
    <t>Total</t>
  </si>
  <si>
    <t xml:space="preserve">Mtc noticeboard </t>
  </si>
  <si>
    <t>Village Hall Car Park Project/EV charging stage 1</t>
  </si>
  <si>
    <t xml:space="preserve">Light &amp; cabling village hall </t>
  </si>
  <si>
    <t>Budget 2023/24</t>
  </si>
  <si>
    <t xml:space="preserve">                 </t>
  </si>
  <si>
    <t xml:space="preserve">                                                                                                                                                                                     </t>
  </si>
  <si>
    <t>Anticipated funds left 31/03/2023</t>
  </si>
  <si>
    <t>Expected Income and expenditure 2023/2024</t>
  </si>
  <si>
    <t>Budget Allocation 2022/2023</t>
  </si>
  <si>
    <t>Notes/assumptions</t>
  </si>
  <si>
    <t xml:space="preserve">10% inflation </t>
  </si>
  <si>
    <t xml:space="preserve">Could be reduced </t>
  </si>
  <si>
    <t xml:space="preserve">5% inflation </t>
  </si>
  <si>
    <t>increase to £20</t>
  </si>
  <si>
    <t>Xmas tree event</t>
  </si>
  <si>
    <t xml:space="preserve">Coronation event </t>
  </si>
  <si>
    <t>Would look for a grant</t>
  </si>
  <si>
    <t>2022/2023</t>
  </si>
  <si>
    <t>Balance as of 31 Dec  2022</t>
  </si>
  <si>
    <t>Cash book carried forward as reconciled</t>
  </si>
  <si>
    <t xml:space="preserve">spend on CV charging </t>
  </si>
  <si>
    <t>Actual Expenditure to Dec 2022</t>
  </si>
  <si>
    <t>Total funds available 2023/2024</t>
  </si>
  <si>
    <t>Anticipated expenditure to 31/03/2023</t>
  </si>
  <si>
    <t xml:space="preserve">Anticipated expenditure to 31/03/2023 </t>
  </si>
  <si>
    <t xml:space="preserve">Grants  - SODC eV charging </t>
  </si>
  <si>
    <t xml:space="preserve">Less anticipated expenditure 2023/2024 </t>
  </si>
  <si>
    <t>Funds left as 0f 31/03/2023</t>
  </si>
  <si>
    <t>April Receipts (</t>
  </si>
  <si>
    <t xml:space="preserve">Poss contested election in May </t>
  </si>
  <si>
    <t xml:space="preserve">Funds remaining after 2023/2024 budget expenditure </t>
  </si>
  <si>
    <t>Administrative Support</t>
  </si>
  <si>
    <t>Footlight Maintenance</t>
  </si>
  <si>
    <t>Playarea Monthly Inspections</t>
  </si>
  <si>
    <t>Grass Cutting Play area</t>
  </si>
  <si>
    <t>Ad hoc Vegetation Maintenance</t>
  </si>
  <si>
    <t>Ad hoc Donations</t>
  </si>
  <si>
    <t>Oxfordshire Children's Air Ambulance</t>
  </si>
  <si>
    <t>Defibrillator</t>
  </si>
  <si>
    <t>Village Hall Car Park Project/EV charging stage 1 &amp; stage 2</t>
  </si>
  <si>
    <t xml:space="preserve">Consultancy plan Neighbourhood plan </t>
  </si>
  <si>
    <t>Admin contingency</t>
  </si>
  <si>
    <t>Stage 2 approx</t>
  </si>
  <si>
    <t xml:space="preserve">Election </t>
  </si>
  <si>
    <t>2023/2024</t>
  </si>
  <si>
    <t>Balance @ 31 March - as reconciled</t>
  </si>
  <si>
    <t xml:space="preserve">Village Hall Chairs </t>
  </si>
  <si>
    <t>Village Hall Projector</t>
  </si>
  <si>
    <t>2021/2022</t>
  </si>
  <si>
    <t>Precept</t>
  </si>
  <si>
    <t>Other income</t>
  </si>
  <si>
    <t>Grants</t>
  </si>
  <si>
    <t>General Administration</t>
  </si>
  <si>
    <t>Salary Costs</t>
  </si>
  <si>
    <t>Other Admin</t>
  </si>
  <si>
    <t>S137</t>
  </si>
  <si>
    <t>Parks and Open Spaces</t>
  </si>
  <si>
    <t>Footpaths and Lighting</t>
  </si>
  <si>
    <t>Capital Schemes and grants</t>
  </si>
  <si>
    <t>VAT on purchases</t>
  </si>
  <si>
    <t>SUMMARY</t>
  </si>
  <si>
    <t>Balance b/fwd at 1 April</t>
  </si>
  <si>
    <t>add Total Income</t>
  </si>
  <si>
    <t>less Total Expenditure</t>
  </si>
  <si>
    <t>Balance c/fwd at 31st March</t>
  </si>
  <si>
    <t xml:space="preserve">INCOME </t>
  </si>
  <si>
    <t>VAT Reimbursement</t>
  </si>
  <si>
    <t>Parks Payments &amp; Open Spaces</t>
  </si>
  <si>
    <t>Dog Bin Emtying</t>
  </si>
  <si>
    <t>Capital Scheme &amp; Grants</t>
  </si>
  <si>
    <t>Section 1 - The Statement of Accounts</t>
  </si>
  <si>
    <t>Variance Explanation</t>
  </si>
  <si>
    <t>Balances Brought Forward</t>
  </si>
  <si>
    <t>Annual Precept</t>
  </si>
  <si>
    <t>Total Other Receipts</t>
  </si>
  <si>
    <t>Staff Costs</t>
  </si>
  <si>
    <t>Loan Interest / Capital Repay</t>
  </si>
  <si>
    <t>Total Other Payments</t>
  </si>
  <si>
    <t>Balance Carried Forward</t>
  </si>
  <si>
    <t>Total Cash &amp; Investments</t>
  </si>
  <si>
    <t>Total Fixed Assets</t>
  </si>
  <si>
    <t>Total Borrowings</t>
  </si>
  <si>
    <t>More capital expenditure (EV charger)</t>
  </si>
  <si>
    <t xml:space="preserve">Increase of £500 which is a 2.2% increase on last year. </t>
  </si>
  <si>
    <t>£1,125 less than previous year as slightly less projects than the first year post pandemic, but still plenty of activity.</t>
  </si>
  <si>
    <t xml:space="preserve">Increase due to purchase of Village Hall chairs and Village Hall projector, which was donated by the film club. </t>
  </si>
  <si>
    <t xml:space="preserve">2021 estimate - donated by the film club. </t>
  </si>
  <si>
    <t>Budget Heading</t>
  </si>
  <si>
    <t>Prev yr act</t>
  </si>
  <si>
    <t>Curr yr act</t>
  </si>
  <si>
    <t>Diff</t>
  </si>
  <si>
    <t>%</t>
  </si>
  <si>
    <t>Notes</t>
  </si>
  <si>
    <t>RECEIPTS</t>
  </si>
  <si>
    <t xml:space="preserve">CIL </t>
  </si>
  <si>
    <t>No CIL funds received</t>
  </si>
  <si>
    <t>Uncashed cheque / cancelled</t>
  </si>
  <si>
    <t>Grants / Donations / Refunds</t>
  </si>
  <si>
    <t>PAYMENTS</t>
  </si>
  <si>
    <t>s137</t>
  </si>
  <si>
    <t>A proper parish council meeting did not take place in Mar-21 due to not having core numbers, so subscriptions from 2020/21 are included in this financial year.</t>
  </si>
  <si>
    <t>grass cutting and play area maintenance</t>
  </si>
  <si>
    <t>recreation ground</t>
  </si>
  <si>
    <t>Tree Planting</t>
  </si>
  <si>
    <t>Footlights annual payments</t>
  </si>
  <si>
    <t>Asset repair etc</t>
  </si>
  <si>
    <t>Bollard Reparis</t>
  </si>
  <si>
    <t>VAS Sign</t>
  </si>
  <si>
    <t>Curtains (Village Hall)</t>
  </si>
  <si>
    <t>Sound System (Village Hall)</t>
  </si>
  <si>
    <t>Parish Council Notice Board (new)</t>
  </si>
  <si>
    <t>Bus grant</t>
  </si>
  <si>
    <t>Churchyard Maintenance</t>
  </si>
  <si>
    <t>TOTAL</t>
  </si>
  <si>
    <t>Comparison of 2022/2023 with 2021/2022 actuals</t>
  </si>
  <si>
    <t>Vat not claimed in current year end</t>
  </si>
  <si>
    <t>Invoice received after year end</t>
  </si>
  <si>
    <t>Invoices received after year end</t>
  </si>
  <si>
    <t xml:space="preserve">Two years as last years donation made late. Increase in operating costs. </t>
  </si>
  <si>
    <t>Chairs Village Hall</t>
  </si>
  <si>
    <t>Purchase of Village Hall Chairs</t>
  </si>
  <si>
    <t xml:space="preserve">Millenium Green lighting &amp; Xmas tree </t>
  </si>
  <si>
    <t xml:space="preserve">EV SSE charging </t>
  </si>
  <si>
    <t xml:space="preserve">Phase 1 (prepation work) 2 EV chargers in Village Hall car park. </t>
  </si>
  <si>
    <t xml:space="preserve">Lighting in the Milllenium Green involving preparation work and Xmas tree. </t>
  </si>
  <si>
    <t>Installation charge of the new village notice board.</t>
  </si>
  <si>
    <t>New supplier is better value for money</t>
  </si>
  <si>
    <t xml:space="preserve">Light repairs </t>
  </si>
  <si>
    <t xml:space="preserve">No testing done, just a repair. </t>
  </si>
  <si>
    <t xml:space="preserve">Precept raised by council vote  to reflect an increase in inflation. </t>
  </si>
  <si>
    <t>Previous years interest payments not recorded for correct period.</t>
  </si>
  <si>
    <t xml:space="preserve">£2,839 less than previous year because of £2,974 less donation from Village Hall Committee towards the Village Hall new curtains and no VAT claimed. </t>
  </si>
  <si>
    <t xml:space="preserve">Reduction in carried forward amount, mainly due to continued expenditure on projects and less donations received from SODC and Village Hall Committee. </t>
  </si>
  <si>
    <t xml:space="preserve"> less than previous year as a change of clerk in May who is on a lower hourly rate. The variance would have higher but there was a  hand over from the old to the new clerk which increased the salary charge.</t>
  </si>
  <si>
    <t xml:space="preserve">Bank statement </t>
  </si>
  <si>
    <t xml:space="preserve">Balance </t>
  </si>
  <si>
    <t>Certified to be a true accurate statement of the financial position of the Council</t>
  </si>
  <si>
    <t xml:space="preserve">£503 less than previous year as a change of Clerk in May on £2 hour less a hour than previous clerk. </t>
  </si>
  <si>
    <t xml:space="preserve">Unity Trust </t>
  </si>
  <si>
    <t>VAT refund</t>
  </si>
  <si>
    <t xml:space="preserve">Mileage claims increased this year, as in the previous year most meetings were virtual, so no travelling to the village Hall. </t>
  </si>
  <si>
    <t>Less donations in current year as approved by PC.</t>
  </si>
  <si>
    <t>less than previous year because a smaller amount of donations received  from Village Hall Committee. Slightly more grants from SODC.</t>
  </si>
  <si>
    <t xml:space="preserve">Grants </t>
  </si>
  <si>
    <t>STANTON ST JOHN PARISH COUNCIL 2023/2024</t>
  </si>
  <si>
    <t>TFM Jan 23</t>
  </si>
  <si>
    <t>TFM Oct 21</t>
  </si>
  <si>
    <t xml:space="preserve">Annual </t>
  </si>
  <si>
    <t>TFM</t>
  </si>
  <si>
    <t xml:space="preserve">General </t>
  </si>
  <si>
    <t>Month Paid</t>
  </si>
  <si>
    <t>One-off</t>
  </si>
  <si>
    <t xml:space="preserve">HMRC </t>
  </si>
  <si>
    <t>SODC</t>
  </si>
  <si>
    <t xml:space="preserve">Banked </t>
  </si>
  <si>
    <t>Receipts and payments for the accounts year ended 31 March 2024</t>
  </si>
  <si>
    <t>Scottish Widows</t>
  </si>
  <si>
    <t>Budget Tracker for Stanton St John Parish Council 2023/2024</t>
  </si>
  <si>
    <t xml:space="preserve">Actual to 30 Sep 23 </t>
  </si>
  <si>
    <t xml:space="preserve">Variance to budget </t>
  </si>
  <si>
    <t xml:space="preserve">Coronation  expenses </t>
  </si>
  <si>
    <t xml:space="preserve">                                                  </t>
  </si>
  <si>
    <t xml:space="preserve">Rent New College </t>
  </si>
  <si>
    <t>Uncontested</t>
  </si>
  <si>
    <t xml:space="preserve">Including new bins </t>
  </si>
  <si>
    <t>?</t>
  </si>
  <si>
    <t>Proposed 24/25 budget</t>
  </si>
  <si>
    <t>Slightly more for neighbourhood planning if required</t>
  </si>
  <si>
    <t>Arnold Baker</t>
  </si>
  <si>
    <t xml:space="preserve">Cilca </t>
  </si>
  <si>
    <t>Balance as of 30 Sep  2023</t>
  </si>
  <si>
    <t>Anticipated expenditure to 31/03/2024</t>
  </si>
  <si>
    <t xml:space="preserve">Cil needs to be spent by April 25 Defribulator or EV charging ? </t>
  </si>
  <si>
    <t xml:space="preserve">Suggest EV charging as we have the invoices in now. </t>
  </si>
  <si>
    <t>Q- how much grant money is due? Is that the final costs?</t>
  </si>
  <si>
    <t xml:space="preserve">Less anticipated expenditure 2024/25 </t>
  </si>
  <si>
    <t xml:space="preserve">Funds remaining after 2025/25 budget expenditure </t>
  </si>
  <si>
    <t>Chargers ?</t>
  </si>
  <si>
    <t xml:space="preserve">Monthly </t>
  </si>
  <si>
    <t>Income/Receipts</t>
  </si>
  <si>
    <t>2022/2023 Actual £</t>
  </si>
  <si>
    <t>2023/2024 Budget £</t>
  </si>
  <si>
    <t>2023/2024 Year end anticipated £</t>
  </si>
  <si>
    <t>Difference</t>
  </si>
  <si>
    <t>2024/2025 Budget £</t>
  </si>
  <si>
    <t>Comments/explanations</t>
  </si>
  <si>
    <t>Bank Interest</t>
  </si>
  <si>
    <t>Expenditure/payments</t>
  </si>
  <si>
    <t>Audit</t>
  </si>
  <si>
    <t xml:space="preserve">Expenses </t>
  </si>
  <si>
    <t>Footlight Payments/mtc</t>
  </si>
  <si>
    <t xml:space="preserve">Donations </t>
  </si>
  <si>
    <t>Village Hall Roof Mtc</t>
  </si>
  <si>
    <t xml:space="preserve">2023/2024 Actual £ To Nov 23 </t>
  </si>
  <si>
    <t>Difference £</t>
  </si>
  <si>
    <t>Had quote in for internal audit and 5% increase for external audit</t>
  </si>
  <si>
    <t xml:space="preserve">Includes regular inspection by Julian Money </t>
  </si>
  <si>
    <t xml:space="preserve">Lights millennium Green </t>
  </si>
  <si>
    <t>Play area Annual Inspection</t>
  </si>
  <si>
    <t xml:space="preserve">Not utilised recently  but good to have a contingency </t>
  </si>
  <si>
    <t xml:space="preserve">Assumed 5% increase </t>
  </si>
  <si>
    <t>Project finished</t>
  </si>
  <si>
    <t xml:space="preserve">Use CIL- needs to be spent by March 2025 </t>
  </si>
  <si>
    <t xml:space="preserve">CIL money for EV charging project </t>
  </si>
  <si>
    <t xml:space="preserve">Annual cost </t>
  </si>
  <si>
    <t xml:space="preserve">Stanton St John budget comparison and planning 2024/2025 </t>
  </si>
  <si>
    <t>Not required</t>
  </si>
  <si>
    <t xml:space="preserve">Includes Village Church grounds donation </t>
  </si>
  <si>
    <t xml:space="preserve">PC Accounts Package </t>
  </si>
  <si>
    <t xml:space="preserve">New Accounts Package </t>
  </si>
  <si>
    <t>Can be funded from grant from Locate</t>
  </si>
  <si>
    <t xml:space="preserve">Andrew looking at upgrading </t>
  </si>
  <si>
    <t>Ad hoc expenses including stationary/books/Councillors</t>
  </si>
  <si>
    <t xml:space="preserve">Future maintenance </t>
  </si>
  <si>
    <t xml:space="preserve">Not utilised. Realistic figure? Move to deposit account </t>
  </si>
  <si>
    <t>Unity bank</t>
  </si>
  <si>
    <t>Dog bins 2024</t>
  </si>
  <si>
    <t>Scottish Widows Deposit Account (01/01/24)</t>
  </si>
  <si>
    <t>2023/2024 To Nov 23</t>
  </si>
  <si>
    <t xml:space="preserve">EV Chargers </t>
  </si>
  <si>
    <t>Assets/repair/replace</t>
  </si>
  <si>
    <t>Asset/replace/reapr</t>
  </si>
  <si>
    <t xml:space="preserve">Total expenditure </t>
  </si>
  <si>
    <t>Mr Warner</t>
  </si>
  <si>
    <t>Costs risen due to high inflation.</t>
  </si>
  <si>
    <t xml:space="preserve">Shorfall of £2,000 from precept taken from reserves </t>
  </si>
  <si>
    <t>STANTON ST JOHN ASSET REGISTAR AS OF MARCH 2024</t>
  </si>
  <si>
    <t xml:space="preserve">Certified to be a true accurate statement of the financial position of the Council </t>
  </si>
  <si>
    <t xml:space="preserve"> and approved by the Council on the 17 June 2023 32.I</t>
  </si>
  <si>
    <t>BANK RECONCILIATION FOR 1 April 2024- 30 June 2024</t>
  </si>
  <si>
    <t>BANK RECONCILIATION FOR 1 July  2024 - 30 September 2024</t>
  </si>
  <si>
    <t>Balance at 30 September 2024</t>
  </si>
  <si>
    <t>Balance at 31 December 2024</t>
  </si>
  <si>
    <t>BANK RECONCILIATION FOR 1 October 2024 - 31 December 2024</t>
  </si>
  <si>
    <t>Stanton st John Parish Council Bank Reconciliation as at 31 March 2025</t>
  </si>
  <si>
    <t>Unity savings a/c</t>
  </si>
  <si>
    <t xml:space="preserve">First half precept </t>
  </si>
  <si>
    <t xml:space="preserve">Interest savings a/c </t>
  </si>
  <si>
    <t>April Dog bins SI-1385</t>
  </si>
  <si>
    <t>April</t>
  </si>
  <si>
    <t xml:space="preserve">Regular </t>
  </si>
  <si>
    <t>Membership 01/04/24-31/03/25</t>
  </si>
  <si>
    <t>May</t>
  </si>
  <si>
    <t xml:space="preserve">Clerk </t>
  </si>
  <si>
    <t>Salalry April 24</t>
  </si>
  <si>
    <t>Tax &amp; Ni April 24</t>
  </si>
  <si>
    <t xml:space="preserve">Expenses stationary folders/minute book </t>
  </si>
  <si>
    <t>Taxi to and from meeting as car broke down</t>
  </si>
  <si>
    <t xml:space="preserve">Reimbursement refreshments Annual Parish Meeting </t>
  </si>
  <si>
    <t>Salary May 24</t>
  </si>
  <si>
    <t>Tax &amp; NI May 24</t>
  </si>
  <si>
    <t xml:space="preserve">June </t>
  </si>
  <si>
    <t>Gallagher Insurance</t>
  </si>
  <si>
    <t>Annual</t>
  </si>
  <si>
    <t xml:space="preserve">Intermedical </t>
  </si>
  <si>
    <t xml:space="preserve">Defribrillator </t>
  </si>
  <si>
    <t xml:space="preserve">Bank charge April-June </t>
  </si>
  <si>
    <t xml:space="preserve">Public Liability Insurance 01/06/24-31/03/25 </t>
  </si>
  <si>
    <t>July</t>
  </si>
  <si>
    <t xml:space="preserve">Salary  June </t>
  </si>
  <si>
    <t>Tax &amp; NI June 24</t>
  </si>
  <si>
    <t xml:space="preserve">Parish Online </t>
  </si>
  <si>
    <t xml:space="preserve">Web site 01/07/24-01/07/25 </t>
  </si>
  <si>
    <t xml:space="preserve">INV SI-1819 25/06/24 Dog bins June 24 </t>
  </si>
  <si>
    <t xml:space="preserve">July </t>
  </si>
  <si>
    <t xml:space="preserve">Inv Si-397/TACIN0805 0959 Cheques not cashed </t>
  </si>
  <si>
    <t xml:space="preserve">Primary Care </t>
  </si>
  <si>
    <t>Credit note for Zoll Rescue Pack as not required</t>
  </si>
  <si>
    <t>August</t>
  </si>
  <si>
    <t>Salary July 2024</t>
  </si>
  <si>
    <t>Mrs Clark</t>
  </si>
  <si>
    <t xml:space="preserve">Footpath light </t>
  </si>
  <si>
    <t xml:space="preserve">Richard Ebbs </t>
  </si>
  <si>
    <t>Mr Sharma</t>
  </si>
  <si>
    <t xml:space="preserve">Salary August 24  </t>
  </si>
  <si>
    <t>Wingfield Strafield</t>
  </si>
  <si>
    <t xml:space="preserve">SODC </t>
  </si>
  <si>
    <t>Second half precept</t>
  </si>
  <si>
    <t xml:space="preserve">New College </t>
  </si>
  <si>
    <t>Sep</t>
  </si>
  <si>
    <t>Rent Field RENT013208</t>
  </si>
  <si>
    <t xml:space="preserve">M Page </t>
  </si>
  <si>
    <t xml:space="preserve">Fit defribrillator BT exchange </t>
  </si>
  <si>
    <t xml:space="preserve">July dog waste INV SI-1956 </t>
  </si>
  <si>
    <t xml:space="preserve">one off </t>
  </si>
  <si>
    <t xml:space="preserve">OCC Pension Fund </t>
  </si>
  <si>
    <t xml:space="preserve">July 's employer &amp; emplyee contribuations </t>
  </si>
  <si>
    <t>Employer Contribuations</t>
  </si>
  <si>
    <t>Emplyee Contribuations</t>
  </si>
  <si>
    <t xml:space="preserve">Otmoor Flyer </t>
  </si>
  <si>
    <t>Otmoor Flyer Refund</t>
  </si>
  <si>
    <t xml:space="preserve">August  employer &amp; emplyee contribuations </t>
  </si>
  <si>
    <t xml:space="preserve">Play Inspection company </t>
  </si>
  <si>
    <t>Annual Inspection Co INV 71556</t>
  </si>
  <si>
    <t xml:space="preserve">Salary Sep </t>
  </si>
  <si>
    <t>August 24 Tax &amp; NI</t>
  </si>
  <si>
    <t xml:space="preserve">September salary Tax &amp; NI </t>
  </si>
  <si>
    <t xml:space="preserve">Bank charge July- Sep </t>
  </si>
  <si>
    <t>Actual to 30 Sep 24</t>
  </si>
  <si>
    <t xml:space="preserve">2023/2024 Actual </t>
  </si>
  <si>
    <t xml:space="preserve">Anticipated to year end </t>
  </si>
  <si>
    <t xml:space="preserve">Pension payments commenced in July </t>
  </si>
  <si>
    <t xml:space="preserve">Unity bank Current Account </t>
  </si>
  <si>
    <t xml:space="preserve">Unity bank Savings  Account </t>
  </si>
  <si>
    <t>`</t>
  </si>
  <si>
    <t xml:space="preserve">Batty </t>
  </si>
  <si>
    <t xml:space="preserve">Scottish Widows </t>
  </si>
  <si>
    <t xml:space="preserve">Precept </t>
  </si>
  <si>
    <t xml:space="preserve">Actual to 31 March 2024  </t>
  </si>
  <si>
    <t>Budget 2024-25</t>
  </si>
  <si>
    <t xml:space="preserve">Notes </t>
  </si>
  <si>
    <t xml:space="preserve">Interest from bank </t>
  </si>
  <si>
    <t>Anticipated to 31 March 2025</t>
  </si>
  <si>
    <t>01/04/25 15% threshold reduced £9,100 to £5,000</t>
  </si>
  <si>
    <t>Working from Home Allowance</t>
  </si>
  <si>
    <t xml:space="preserve">Expenditure </t>
  </si>
  <si>
    <t>Clerk Salary</t>
  </si>
  <si>
    <t>520*24.85= £12,922</t>
  </si>
  <si>
    <t>CilCA &amp; payrise</t>
  </si>
  <si>
    <t xml:space="preserve">Employer NI </t>
  </si>
  <si>
    <t>£7,922*15%</t>
  </si>
  <si>
    <t xml:space="preserve">Working from home </t>
  </si>
  <si>
    <t>£26*52</t>
  </si>
  <si>
    <t xml:space="preserve">Travel </t>
  </si>
  <si>
    <t xml:space="preserve">30*£4.59 </t>
  </si>
  <si>
    <t>See assumptions tab</t>
  </si>
  <si>
    <t xml:space="preserve">2-3 repairs at £80  each </t>
  </si>
  <si>
    <t>15% over £5,000</t>
  </si>
  <si>
    <t>Meetings</t>
  </si>
  <si>
    <t>Council meetings</t>
  </si>
  <si>
    <t>Noticeboards</t>
  </si>
  <si>
    <t>Insurance Auditing</t>
  </si>
  <si>
    <t xml:space="preserve">Charitable Donations S137 </t>
  </si>
  <si>
    <t>Coronation event Village Shop</t>
  </si>
  <si>
    <t>Budget 2023/2024</t>
  </si>
  <si>
    <t xml:space="preserve">Sundries </t>
  </si>
  <si>
    <t>Bank Charges</t>
  </si>
  <si>
    <t>Clerk Training</t>
  </si>
  <si>
    <t xml:space="preserve">Councillors Training </t>
  </si>
  <si>
    <t xml:space="preserve">Information Commissioner fee </t>
  </si>
  <si>
    <t xml:space="preserve">Election costs </t>
  </si>
  <si>
    <t>Rent New college</t>
  </si>
  <si>
    <t xml:space="preserve">MS 365 /Anti virus </t>
  </si>
  <si>
    <t xml:space="preserve">Defibrillator Pads </t>
  </si>
  <si>
    <t>Stationery /ink/Postage</t>
  </si>
  <si>
    <t>Chairmans Expenses</t>
  </si>
  <si>
    <t xml:space="preserve">Total </t>
  </si>
  <si>
    <t xml:space="preserve">Emplyee Tax </t>
  </si>
  <si>
    <t xml:space="preserve">Insurance increased &amp; inflation </t>
  </si>
  <si>
    <t>Repair</t>
  </si>
  <si>
    <t xml:space="preserve">10% Inflation </t>
  </si>
  <si>
    <t>Quote received</t>
  </si>
  <si>
    <t xml:space="preserve">Increased </t>
  </si>
  <si>
    <t xml:space="preserve">Interest rates going down </t>
  </si>
  <si>
    <t>Precept £29,000  7% increase from last year</t>
  </si>
  <si>
    <t>Assumptions Budget 25/26</t>
  </si>
  <si>
    <t>£10.81*400= £4,205 total S137 allowed</t>
  </si>
  <si>
    <t>Actual to 30 September 24</t>
  </si>
  <si>
    <t>Current Account</t>
  </si>
  <si>
    <t>Unity Savings Account</t>
  </si>
  <si>
    <t xml:space="preserve">Traffic Project </t>
  </si>
  <si>
    <t>Reserves</t>
  </si>
  <si>
    <t xml:space="preserve">Neighbourhood plan </t>
  </si>
  <si>
    <t xml:space="preserve">5 months running costs </t>
  </si>
  <si>
    <t>General Reserves</t>
  </si>
  <si>
    <t>Wheatley Park Prize Giving</t>
  </si>
  <si>
    <t>Howe Trust Xmas Hamper</t>
  </si>
  <si>
    <t xml:space="preserve">Overspend (-) from Budget </t>
  </si>
  <si>
    <t>Books/reference material</t>
  </si>
  <si>
    <t xml:space="preserve">In line with expenditure in last two years </t>
  </si>
  <si>
    <t>Total S137</t>
  </si>
  <si>
    <t>Neighbourhood Planning (ONPA)</t>
  </si>
  <si>
    <t>Village event contingency.</t>
  </si>
  <si>
    <t xml:space="preserve"> Budget 2025-26</t>
  </si>
  <si>
    <t>520*23.00= £11,960</t>
  </si>
  <si>
    <t>OALC/SLCC</t>
  </si>
  <si>
    <t xml:space="preserve">£26 a month </t>
  </si>
  <si>
    <t>Not paid yet</t>
  </si>
  <si>
    <t xml:space="preserve">Not invoiced yet </t>
  </si>
  <si>
    <t>Anticipated income/ expenditure to 31/03/26</t>
  </si>
  <si>
    <t xml:space="preserve">Deviance from Budget </t>
  </si>
  <si>
    <t xml:space="preserve">Back pay for national pay award </t>
  </si>
  <si>
    <t xml:space="preserve">Ordered new dog bin </t>
  </si>
  <si>
    <t xml:space="preserve"> Pension Payments </t>
  </si>
  <si>
    <t xml:space="preserve">Disposition of Council Funds (30/09/25) </t>
  </si>
  <si>
    <t>Surplus/deficit (-)</t>
  </si>
  <si>
    <t xml:space="preserve">   </t>
  </si>
  <si>
    <t>Actual to 30 September 25</t>
  </si>
  <si>
    <t>Playarea Yearly  Inspections</t>
  </si>
  <si>
    <t xml:space="preserve"> Rural Verge  Cutting </t>
  </si>
  <si>
    <t xml:space="preserve">Microshade IT </t>
  </si>
  <si>
    <t xml:space="preserve">Boarding Village Hall loft </t>
  </si>
  <si>
    <t xml:space="preserve">Village Hall Maintenance </t>
  </si>
  <si>
    <t xml:space="preserve">Playground Sinking Fund </t>
  </si>
  <si>
    <t xml:space="preserve">Annual Community Meeting </t>
  </si>
  <si>
    <t xml:space="preserve"> 26/27 Budget</t>
  </si>
  <si>
    <t>Actual to 31/08/26</t>
  </si>
  <si>
    <t>Varaince %</t>
  </si>
  <si>
    <t xml:space="preserve">Employer  Pension Payments </t>
  </si>
  <si>
    <t>Village Shop Assistance</t>
  </si>
  <si>
    <t xml:space="preserve">Notes for 2027-2028 budget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</si>
</sst>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£&quot;#,##0;\-&quot;£&quot;#,##0"/>
    <numFmt numFmtId="7" formatCode="&quot;£&quot;#,##0.00;\-&quot;£&quot;#,##0.00"/>
    <numFmt numFmtId="8" formatCode="&quot;£&quot;#,##0.00;[Red]\-&quot;£&quot;#,##0.00"/>
    <numFmt numFmtId="42" formatCode="_-&quot;£&quot;* #,##0_-;\-&quot;£&quot;* #,##0_-;_-&quot;£&quot;* &quot;-&quot;_-;_-@_-"/>
    <numFmt numFmtId="41" formatCode="_-* #,##0_-;\-* #,##0_-;_-* &quot;-&quot;_-;_-@_-"/>
    <numFmt numFmtId="43" formatCode="_-* #,##0.00_-;\-* #,##0.00_-;_-* &quot;-&quot;??_-;_-@_-"/>
    <numFmt numFmtId="164" formatCode="&quot;£&quot;#,##0.00"/>
    <numFmt numFmtId="165" formatCode="[$-F800]dddd\,\ mmmm\ dd\,\ yyyy"/>
    <numFmt numFmtId="166" formatCode="0.0"/>
    <numFmt numFmtId="167" formatCode="&quot;£&quot;#,##0"/>
    <numFmt numFmtId="168" formatCode="_-* #,##0.0_-;\-* #,##0.0_-;_-* &quot;-&quot;?_-;_-@_-"/>
    <numFmt numFmtId="169" formatCode="#,##0.00000000000_ ;\-#,##0.00000000000\ "/>
  </numFmts>
  <fonts count="3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u/>
      <sz val="10"/>
      <name val="Arial"/>
      <family val="2"/>
    </font>
    <font>
      <sz val="9"/>
      <name val="Verdana"/>
      <family val="2"/>
    </font>
    <font>
      <sz val="10"/>
      <name val="Arial"/>
      <family val="2"/>
    </font>
    <font>
      <sz val="9"/>
      <color indexed="8"/>
      <name val="Verdana"/>
      <family val="2"/>
    </font>
    <font>
      <sz val="10"/>
      <name val="Verdana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name val="Calibri"/>
      <family val="2"/>
      <scheme val="minor"/>
    </font>
    <font>
      <i/>
      <sz val="11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sz val="9"/>
      <color indexed="81"/>
      <name val="Tahoma"/>
      <charset val="1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0">
    <xf numFmtId="0" fontId="0" fillId="0" borderId="0" xfId="0"/>
    <xf numFmtId="0" fontId="0" fillId="0" borderId="1" xfId="0" applyBorder="1"/>
    <xf numFmtId="14" fontId="0" fillId="0" borderId="1" xfId="0" applyNumberFormat="1" applyBorder="1"/>
    <xf numFmtId="17" fontId="0" fillId="0" borderId="1" xfId="0" applyNumberFormat="1" applyBorder="1"/>
    <xf numFmtId="0" fontId="2" fillId="2" borderId="1" xfId="0" applyFont="1" applyFill="1" applyBorder="1"/>
    <xf numFmtId="17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horizontal="center"/>
    </xf>
    <xf numFmtId="4" fontId="0" fillId="0" borderId="1" xfId="0" applyNumberFormat="1" applyBorder="1"/>
    <xf numFmtId="0" fontId="5" fillId="6" borderId="0" xfId="0" applyFont="1" applyFill="1"/>
    <xf numFmtId="0" fontId="0" fillId="6" borderId="0" xfId="0" applyFill="1"/>
    <xf numFmtId="2" fontId="0" fillId="6" borderId="0" xfId="0" applyNumberFormat="1" applyFill="1"/>
    <xf numFmtId="0" fontId="0" fillId="0" borderId="7" xfId="0" applyBorder="1"/>
    <xf numFmtId="2" fontId="3" fillId="0" borderId="7" xfId="0" applyNumberFormat="1" applyFont="1" applyBorder="1" applyAlignment="1">
      <alignment horizontal="center"/>
    </xf>
    <xf numFmtId="0" fontId="3" fillId="0" borderId="0" xfId="0" applyFont="1"/>
    <xf numFmtId="2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2" fontId="6" fillId="0" borderId="0" xfId="0" applyNumberFormat="1" applyFont="1"/>
    <xf numFmtId="0" fontId="8" fillId="0" borderId="0" xfId="0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center"/>
      <protection locked="0"/>
    </xf>
    <xf numFmtId="0" fontId="6" fillId="0" borderId="0" xfId="0" applyFont="1"/>
    <xf numFmtId="165" fontId="0" fillId="0" borderId="0" xfId="0" applyNumberFormat="1"/>
    <xf numFmtId="0" fontId="10" fillId="0" borderId="1" xfId="0" applyFont="1" applyBorder="1"/>
    <xf numFmtId="0" fontId="11" fillId="0" borderId="6" xfId="0" applyFont="1" applyBorder="1"/>
    <xf numFmtId="0" fontId="10" fillId="0" borderId="6" xfId="0" applyFont="1" applyBorder="1"/>
    <xf numFmtId="0" fontId="13" fillId="0" borderId="0" xfId="0" applyFont="1" applyAlignment="1">
      <alignment horizontal="center"/>
    </xf>
    <xf numFmtId="0" fontId="14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3" fontId="13" fillId="0" borderId="0" xfId="0" applyNumberFormat="1" applyFont="1"/>
    <xf numFmtId="17" fontId="0" fillId="0" borderId="0" xfId="0" applyNumberFormat="1"/>
    <xf numFmtId="4" fontId="13" fillId="0" borderId="0" xfId="0" applyNumberFormat="1" applyFont="1"/>
    <xf numFmtId="0" fontId="0" fillId="0" borderId="0" xfId="0" applyAlignment="1">
      <alignment wrapText="1"/>
    </xf>
    <xf numFmtId="0" fontId="2" fillId="0" borderId="0" xfId="0" applyFont="1"/>
    <xf numFmtId="14" fontId="11" fillId="0" borderId="6" xfId="0" applyNumberFormat="1" applyFont="1" applyBorder="1" applyAlignment="1">
      <alignment horizontal="left"/>
    </xf>
    <xf numFmtId="0" fontId="1" fillId="0" borderId="6" xfId="0" applyFont="1" applyBorder="1"/>
    <xf numFmtId="164" fontId="0" fillId="0" borderId="0" xfId="0" applyNumberFormat="1"/>
    <xf numFmtId="0" fontId="18" fillId="0" borderId="0" xfId="0" applyFont="1"/>
    <xf numFmtId="2" fontId="0" fillId="0" borderId="1" xfId="0" applyNumberFormat="1" applyBorder="1"/>
    <xf numFmtId="2" fontId="0" fillId="5" borderId="1" xfId="0" applyNumberFormat="1" applyFill="1" applyBorder="1"/>
    <xf numFmtId="2" fontId="2" fillId="5" borderId="1" xfId="0" applyNumberFormat="1" applyFont="1" applyFill="1" applyBorder="1"/>
    <xf numFmtId="0" fontId="2" fillId="0" borderId="1" xfId="0" applyFont="1" applyBorder="1"/>
    <xf numFmtId="2" fontId="4" fillId="5" borderId="1" xfId="0" applyNumberFormat="1" applyFont="1" applyFill="1" applyBorder="1"/>
    <xf numFmtId="2" fontId="2" fillId="0" borderId="0" xfId="0" applyNumberFormat="1" applyFont="1"/>
    <xf numFmtId="0" fontId="2" fillId="0" borderId="0" xfId="0" applyFont="1" applyAlignment="1">
      <alignment horizontal="center" wrapText="1"/>
    </xf>
    <xf numFmtId="0" fontId="2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0" fillId="0" borderId="0" xfId="0" applyFont="1"/>
    <xf numFmtId="3" fontId="20" fillId="0" borderId="0" xfId="0" applyNumberFormat="1" applyFont="1"/>
    <xf numFmtId="4" fontId="20" fillId="0" borderId="0" xfId="0" applyNumberFormat="1" applyFont="1"/>
    <xf numFmtId="0" fontId="21" fillId="0" borderId="0" xfId="0" applyFont="1"/>
    <xf numFmtId="0" fontId="10" fillId="0" borderId="0" xfId="0" applyFont="1"/>
    <xf numFmtId="2" fontId="20" fillId="0" borderId="0" xfId="0" applyNumberFormat="1" applyFont="1"/>
    <xf numFmtId="0" fontId="0" fillId="8" borderId="0" xfId="0" applyFill="1"/>
    <xf numFmtId="0" fontId="0" fillId="7" borderId="0" xfId="0" applyFill="1"/>
    <xf numFmtId="2" fontId="2" fillId="0" borderId="1" xfId="0" applyNumberFormat="1" applyFont="1" applyBorder="1"/>
    <xf numFmtId="166" fontId="2" fillId="0" borderId="0" xfId="0" applyNumberFormat="1" applyFont="1"/>
    <xf numFmtId="4" fontId="4" fillId="0" borderId="0" xfId="0" applyNumberFormat="1" applyFont="1"/>
    <xf numFmtId="0" fontId="2" fillId="9" borderId="0" xfId="0" applyFont="1" applyFill="1" applyAlignment="1">
      <alignment wrapText="1"/>
    </xf>
    <xf numFmtId="0" fontId="20" fillId="9" borderId="0" xfId="0" applyFont="1" applyFill="1"/>
    <xf numFmtId="0" fontId="0" fillId="9" borderId="0" xfId="0" applyFill="1"/>
    <xf numFmtId="4" fontId="0" fillId="9" borderId="0" xfId="0" applyNumberFormat="1" applyFill="1"/>
    <xf numFmtId="4" fontId="20" fillId="9" borderId="0" xfId="0" applyNumberFormat="1" applyFont="1" applyFill="1"/>
    <xf numFmtId="4" fontId="2" fillId="9" borderId="10" xfId="0" applyNumberFormat="1" applyFont="1" applyFill="1" applyBorder="1"/>
    <xf numFmtId="4" fontId="20" fillId="0" borderId="10" xfId="0" applyNumberFormat="1" applyFont="1" applyBorder="1"/>
    <xf numFmtId="4" fontId="2" fillId="0" borderId="0" xfId="0" applyNumberFormat="1" applyFont="1"/>
    <xf numFmtId="43" fontId="20" fillId="0" borderId="0" xfId="0" applyNumberFormat="1" applyFont="1"/>
    <xf numFmtId="43" fontId="2" fillId="0" borderId="0" xfId="0" applyNumberFormat="1" applyFont="1"/>
    <xf numFmtId="43" fontId="20" fillId="0" borderId="5" xfId="0" applyNumberFormat="1" applyFont="1" applyBorder="1"/>
    <xf numFmtId="4" fontId="0" fillId="0" borderId="4" xfId="0" applyNumberFormat="1" applyBorder="1"/>
    <xf numFmtId="4" fontId="22" fillId="0" borderId="0" xfId="0" applyNumberFormat="1" applyFont="1"/>
    <xf numFmtId="43" fontId="2" fillId="0" borderId="10" xfId="0" applyNumberFormat="1" applyFont="1" applyBorder="1"/>
    <xf numFmtId="0" fontId="1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4" fillId="0" borderId="0" xfId="0" applyFont="1" applyAlignment="1">
      <alignment wrapText="1"/>
    </xf>
    <xf numFmtId="2" fontId="4" fillId="0" borderId="1" xfId="0" applyNumberFormat="1" applyFont="1" applyBorder="1"/>
    <xf numFmtId="0" fontId="4" fillId="0" borderId="1" xfId="0" applyFont="1" applyBorder="1"/>
    <xf numFmtId="14" fontId="4" fillId="0" borderId="1" xfId="0" applyNumberFormat="1" applyFont="1" applyBorder="1"/>
    <xf numFmtId="17" fontId="4" fillId="0" borderId="1" xfId="0" applyNumberFormat="1" applyFont="1" applyBorder="1"/>
    <xf numFmtId="17" fontId="4" fillId="0" borderId="1" xfId="0" applyNumberFormat="1" applyFont="1" applyBorder="1" applyAlignment="1">
      <alignment horizontal="left"/>
    </xf>
    <xf numFmtId="15" fontId="4" fillId="0" borderId="1" xfId="0" applyNumberFormat="1" applyFont="1" applyBorder="1" applyAlignment="1">
      <alignment horizontal="left"/>
    </xf>
    <xf numFmtId="0" fontId="0" fillId="0" borderId="9" xfId="0" applyBorder="1"/>
    <xf numFmtId="2" fontId="0" fillId="0" borderId="9" xfId="0" applyNumberFormat="1" applyBorder="1"/>
    <xf numFmtId="0" fontId="4" fillId="0" borderId="9" xfId="0" applyFont="1" applyBorder="1"/>
    <xf numFmtId="2" fontId="4" fillId="0" borderId="0" xfId="0" applyNumberFormat="1" applyFont="1"/>
    <xf numFmtId="0" fontId="2" fillId="11" borderId="1" xfId="0" applyFont="1" applyFill="1" applyBorder="1"/>
    <xf numFmtId="0" fontId="24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1" xfId="0" applyFont="1" applyBorder="1" applyAlignment="1">
      <alignment horizontal="left"/>
    </xf>
    <xf numFmtId="0" fontId="23" fillId="0" borderId="11" xfId="0" applyFont="1" applyBorder="1"/>
    <xf numFmtId="0" fontId="25" fillId="0" borderId="11" xfId="0" applyFont="1" applyBorder="1" applyAlignment="1">
      <alignment wrapText="1"/>
    </xf>
    <xf numFmtId="0" fontId="23" fillId="0" borderId="11" xfId="0" applyFont="1" applyBorder="1" applyAlignment="1">
      <alignment wrapText="1"/>
    </xf>
    <xf numFmtId="0" fontId="23" fillId="0" borderId="14" xfId="0" applyFont="1" applyBorder="1"/>
    <xf numFmtId="41" fontId="26" fillId="0" borderId="11" xfId="0" applyNumberFormat="1" applyFont="1" applyBorder="1"/>
    <xf numFmtId="41" fontId="23" fillId="0" borderId="13" xfId="0" applyNumberFormat="1" applyFont="1" applyBorder="1"/>
    <xf numFmtId="41" fontId="26" fillId="0" borderId="1" xfId="0" applyNumberFormat="1" applyFont="1" applyBorder="1"/>
    <xf numFmtId="41" fontId="24" fillId="0" borderId="11" xfId="0" applyNumberFormat="1" applyFont="1" applyBorder="1" applyAlignment="1">
      <alignment horizontal="center"/>
    </xf>
    <xf numFmtId="41" fontId="24" fillId="0" borderId="13" xfId="0" applyNumberFormat="1" applyFont="1" applyBorder="1" applyAlignment="1">
      <alignment horizontal="center"/>
    </xf>
    <xf numFmtId="41" fontId="24" fillId="0" borderId="1" xfId="0" applyNumberFormat="1" applyFont="1" applyBorder="1" applyAlignment="1">
      <alignment horizontal="center"/>
    </xf>
    <xf numFmtId="41" fontId="23" fillId="0" borderId="11" xfId="0" applyNumberFormat="1" applyFont="1" applyBorder="1"/>
    <xf numFmtId="41" fontId="23" fillId="0" borderId="1" xfId="0" applyNumberFormat="1" applyFont="1" applyBorder="1"/>
    <xf numFmtId="41" fontId="23" fillId="10" borderId="11" xfId="0" applyNumberFormat="1" applyFont="1" applyFill="1" applyBorder="1"/>
    <xf numFmtId="41" fontId="0" fillId="0" borderId="1" xfId="0" applyNumberFormat="1" applyBorder="1"/>
    <xf numFmtId="41" fontId="23" fillId="10" borderId="1" xfId="0" applyNumberFormat="1" applyFont="1" applyFill="1" applyBorder="1"/>
    <xf numFmtId="41" fontId="23" fillId="10" borderId="0" xfId="0" applyNumberFormat="1" applyFont="1" applyFill="1"/>
    <xf numFmtId="41" fontId="23" fillId="0" borderId="12" xfId="0" applyNumberFormat="1" applyFont="1" applyBorder="1"/>
    <xf numFmtId="4" fontId="23" fillId="0" borderId="13" xfId="0" applyNumberFormat="1" applyFont="1" applyBorder="1" applyAlignment="1">
      <alignment wrapText="1"/>
    </xf>
    <xf numFmtId="4" fontId="25" fillId="0" borderId="13" xfId="0" applyNumberFormat="1" applyFont="1" applyBorder="1" applyAlignment="1">
      <alignment wrapText="1"/>
    </xf>
    <xf numFmtId="4" fontId="23" fillId="10" borderId="13" xfId="0" applyNumberFormat="1" applyFont="1" applyFill="1" applyBorder="1"/>
    <xf numFmtId="4" fontId="2" fillId="0" borderId="1" xfId="0" applyNumberFormat="1" applyFont="1" applyBorder="1"/>
    <xf numFmtId="0" fontId="5" fillId="0" borderId="0" xfId="0" applyFont="1"/>
    <xf numFmtId="2" fontId="3" fillId="0" borderId="0" xfId="0" applyNumberFormat="1" applyFont="1" applyAlignment="1">
      <alignment horizontal="center"/>
    </xf>
    <xf numFmtId="0" fontId="0" fillId="12" borderId="1" xfId="0" applyFill="1" applyBorder="1"/>
    <xf numFmtId="0" fontId="2" fillId="12" borderId="1" xfId="0" applyFont="1" applyFill="1" applyBorder="1"/>
    <xf numFmtId="17" fontId="0" fillId="12" borderId="1" xfId="0" applyNumberFormat="1" applyFill="1" applyBorder="1" applyAlignment="1">
      <alignment horizontal="left"/>
    </xf>
    <xf numFmtId="43" fontId="2" fillId="12" borderId="1" xfId="0" applyNumberFormat="1" applyFont="1" applyFill="1" applyBorder="1"/>
    <xf numFmtId="43" fontId="0" fillId="12" borderId="1" xfId="0" applyNumberFormat="1" applyFill="1" applyBorder="1"/>
    <xf numFmtId="14" fontId="0" fillId="12" borderId="1" xfId="0" applyNumberFormat="1" applyFill="1" applyBorder="1"/>
    <xf numFmtId="17" fontId="0" fillId="12" borderId="1" xfId="0" applyNumberFormat="1" applyFill="1" applyBorder="1"/>
    <xf numFmtId="0" fontId="0" fillId="12" borderId="0" xfId="0" applyFill="1"/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14" fontId="12" fillId="0" borderId="1" xfId="0" applyNumberFormat="1" applyFont="1" applyBorder="1" applyAlignment="1">
      <alignment horizontal="left" vertical="center"/>
    </xf>
    <xf numFmtId="14" fontId="1" fillId="0" borderId="6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4" fontId="25" fillId="0" borderId="0" xfId="0" applyNumberFormat="1" applyFont="1" applyAlignment="1">
      <alignment wrapText="1"/>
    </xf>
    <xf numFmtId="4" fontId="23" fillId="0" borderId="0" xfId="0" applyNumberFormat="1" applyFont="1" applyAlignment="1">
      <alignment wrapText="1"/>
    </xf>
    <xf numFmtId="4" fontId="23" fillId="0" borderId="15" xfId="0" applyNumberFormat="1" applyFont="1" applyBorder="1" applyAlignment="1">
      <alignment wrapText="1"/>
    </xf>
    <xf numFmtId="4" fontId="25" fillId="0" borderId="0" xfId="0" applyNumberFormat="1" applyFont="1" applyAlignment="1">
      <alignment horizontal="center" wrapText="1"/>
    </xf>
    <xf numFmtId="4" fontId="23" fillId="0" borderId="16" xfId="0" applyNumberFormat="1" applyFont="1" applyBorder="1" applyAlignment="1">
      <alignment wrapText="1"/>
    </xf>
    <xf numFmtId="4" fontId="25" fillId="0" borderId="16" xfId="0" applyNumberFormat="1" applyFont="1" applyBorder="1" applyAlignment="1">
      <alignment horizontal="center" wrapText="1"/>
    </xf>
    <xf numFmtId="4" fontId="23" fillId="0" borderId="11" xfId="0" applyNumberFormat="1" applyFont="1" applyBorder="1" applyAlignment="1">
      <alignment wrapText="1"/>
    </xf>
    <xf numFmtId="4" fontId="23" fillId="0" borderId="1" xfId="0" applyNumberFormat="1" applyFont="1" applyBorder="1" applyAlignment="1">
      <alignment wrapText="1"/>
    </xf>
    <xf numFmtId="4" fontId="23" fillId="0" borderId="14" xfId="0" applyNumberFormat="1" applyFont="1" applyBorder="1" applyAlignment="1">
      <alignment wrapText="1"/>
    </xf>
    <xf numFmtId="4" fontId="25" fillId="0" borderId="11" xfId="0" applyNumberFormat="1" applyFont="1" applyBorder="1" applyAlignment="1">
      <alignment wrapText="1"/>
    </xf>
    <xf numFmtId="4" fontId="23" fillId="10" borderId="11" xfId="0" applyNumberFormat="1" applyFont="1" applyFill="1" applyBorder="1" applyAlignment="1">
      <alignment wrapText="1"/>
    </xf>
    <xf numFmtId="4" fontId="23" fillId="0" borderId="11" xfId="0" applyNumberFormat="1" applyFont="1" applyBorder="1" applyAlignment="1">
      <alignment horizontal="right" wrapText="1"/>
    </xf>
    <xf numFmtId="4" fontId="23" fillId="0" borderId="11" xfId="0" applyNumberFormat="1" applyFont="1" applyBorder="1" applyAlignment="1">
      <alignment horizontal="right"/>
    </xf>
    <xf numFmtId="0" fontId="2" fillId="2" borderId="9" xfId="0" applyFont="1" applyFill="1" applyBorder="1"/>
    <xf numFmtId="17" fontId="4" fillId="0" borderId="17" xfId="0" applyNumberFormat="1" applyFont="1" applyBorder="1"/>
    <xf numFmtId="17" fontId="0" fillId="0" borderId="17" xfId="0" applyNumberFormat="1" applyBorder="1"/>
    <xf numFmtId="0" fontId="0" fillId="0" borderId="17" xfId="0" applyBorder="1"/>
    <xf numFmtId="14" fontId="0" fillId="0" borderId="0" xfId="0" applyNumberFormat="1"/>
    <xf numFmtId="0" fontId="1" fillId="0" borderId="17" xfId="0" applyFont="1" applyBorder="1" applyAlignment="1">
      <alignment vertical="center"/>
    </xf>
    <xf numFmtId="0" fontId="4" fillId="5" borderId="1" xfId="0" applyFont="1" applyFill="1" applyBorder="1"/>
    <xf numFmtId="0" fontId="0" fillId="5" borderId="1" xfId="0" applyFill="1" applyBorder="1"/>
    <xf numFmtId="17" fontId="0" fillId="5" borderId="1" xfId="0" applyNumberFormat="1" applyFill="1" applyBorder="1" applyAlignment="1">
      <alignment horizontal="left"/>
    </xf>
    <xf numFmtId="14" fontId="0" fillId="5" borderId="1" xfId="0" applyNumberFormat="1" applyFill="1" applyBorder="1"/>
    <xf numFmtId="17" fontId="0" fillId="5" borderId="17" xfId="0" applyNumberFormat="1" applyFill="1" applyBorder="1" applyAlignment="1">
      <alignment horizontal="center"/>
    </xf>
    <xf numFmtId="0" fontId="0" fillId="5" borderId="0" xfId="0" applyFill="1"/>
    <xf numFmtId="17" fontId="0" fillId="0" borderId="17" xfId="0" applyNumberFormat="1" applyBorder="1" applyAlignment="1">
      <alignment horizontal="center"/>
    </xf>
    <xf numFmtId="2" fontId="17" fillId="12" borderId="1" xfId="0" applyNumberFormat="1" applyFont="1" applyFill="1" applyBorder="1"/>
    <xf numFmtId="0" fontId="0" fillId="0" borderId="0" xfId="0" applyAlignment="1">
      <alignment horizontal="center" wrapText="1"/>
    </xf>
    <xf numFmtId="2" fontId="4" fillId="0" borderId="9" xfId="0" applyNumberFormat="1" applyFont="1" applyBorder="1"/>
    <xf numFmtId="0" fontId="2" fillId="11" borderId="0" xfId="0" applyFont="1" applyFill="1" applyAlignment="1">
      <alignment wrapText="1"/>
    </xf>
    <xf numFmtId="0" fontId="20" fillId="11" borderId="0" xfId="0" applyFont="1" applyFill="1"/>
    <xf numFmtId="4" fontId="20" fillId="11" borderId="0" xfId="0" applyNumberFormat="1" applyFont="1" applyFill="1"/>
    <xf numFmtId="43" fontId="20" fillId="11" borderId="0" xfId="0" applyNumberFormat="1" applyFont="1" applyFill="1"/>
    <xf numFmtId="43" fontId="2" fillId="11" borderId="0" xfId="0" applyNumberFormat="1" applyFont="1" applyFill="1"/>
    <xf numFmtId="43" fontId="20" fillId="11" borderId="5" xfId="0" applyNumberFormat="1" applyFont="1" applyFill="1" applyBorder="1"/>
    <xf numFmtId="2" fontId="20" fillId="11" borderId="0" xfId="0" applyNumberFormat="1" applyFont="1" applyFill="1"/>
    <xf numFmtId="0" fontId="0" fillId="11" borderId="0" xfId="0" applyFill="1" applyAlignment="1">
      <alignment wrapText="1"/>
    </xf>
    <xf numFmtId="0" fontId="0" fillId="11" borderId="0" xfId="0" applyFill="1"/>
    <xf numFmtId="43" fontId="2" fillId="11" borderId="5" xfId="0" applyNumberFormat="1" applyFont="1" applyFill="1" applyBorder="1"/>
    <xf numFmtId="0" fontId="20" fillId="13" borderId="0" xfId="0" applyFont="1" applyFill="1"/>
    <xf numFmtId="0" fontId="0" fillId="13" borderId="0" xfId="0" applyFill="1"/>
    <xf numFmtId="0" fontId="0" fillId="13" borderId="0" xfId="0" applyFill="1" applyAlignment="1">
      <alignment wrapText="1"/>
    </xf>
    <xf numFmtId="167" fontId="20" fillId="13" borderId="5" xfId="0" applyNumberFormat="1" applyFont="1" applyFill="1" applyBorder="1"/>
    <xf numFmtId="0" fontId="2" fillId="13" borderId="0" xfId="0" applyFont="1" applyFill="1" applyAlignment="1">
      <alignment wrapText="1"/>
    </xf>
    <xf numFmtId="0" fontId="2" fillId="8" borderId="0" xfId="0" applyFont="1" applyFill="1" applyAlignment="1">
      <alignment wrapText="1"/>
    </xf>
    <xf numFmtId="0" fontId="20" fillId="8" borderId="0" xfId="0" applyFont="1" applyFill="1"/>
    <xf numFmtId="0" fontId="20" fillId="8" borderId="0" xfId="0" applyFont="1" applyFill="1" applyAlignment="1">
      <alignment wrapText="1"/>
    </xf>
    <xf numFmtId="3" fontId="20" fillId="8" borderId="0" xfId="0" applyNumberFormat="1" applyFont="1" applyFill="1"/>
    <xf numFmtId="4" fontId="20" fillId="8" borderId="0" xfId="0" applyNumberFormat="1" applyFont="1" applyFill="1"/>
    <xf numFmtId="43" fontId="20" fillId="8" borderId="0" xfId="0" applyNumberFormat="1" applyFont="1" applyFill="1"/>
    <xf numFmtId="43" fontId="2" fillId="8" borderId="0" xfId="0" applyNumberFormat="1" applyFont="1" applyFill="1"/>
    <xf numFmtId="43" fontId="20" fillId="8" borderId="5" xfId="0" applyNumberFormat="1" applyFont="1" applyFill="1" applyBorder="1"/>
    <xf numFmtId="2" fontId="20" fillId="8" borderId="0" xfId="0" applyNumberFormat="1" applyFont="1" applyFill="1"/>
    <xf numFmtId="0" fontId="0" fillId="8" borderId="0" xfId="0" applyFill="1" applyAlignment="1">
      <alignment wrapText="1"/>
    </xf>
    <xf numFmtId="4" fontId="0" fillId="8" borderId="0" xfId="0" applyNumberFormat="1" applyFill="1"/>
    <xf numFmtId="4" fontId="4" fillId="8" borderId="0" xfId="0" applyNumberFormat="1" applyFont="1" applyFill="1"/>
    <xf numFmtId="4" fontId="20" fillId="8" borderId="10" xfId="0" applyNumberFormat="1" applyFont="1" applyFill="1" applyBorder="1"/>
    <xf numFmtId="4" fontId="2" fillId="8" borderId="10" xfId="0" applyNumberFormat="1" applyFont="1" applyFill="1" applyBorder="1"/>
    <xf numFmtId="43" fontId="2" fillId="8" borderId="5" xfId="0" applyNumberFormat="1" applyFont="1" applyFill="1" applyBorder="1"/>
    <xf numFmtId="0" fontId="2" fillId="0" borderId="1" xfId="0" applyFont="1" applyBorder="1" applyAlignment="1">
      <alignment vertical="top" wrapText="1"/>
    </xf>
    <xf numFmtId="3" fontId="2" fillId="0" borderId="1" xfId="0" applyNumberFormat="1" applyFont="1" applyBorder="1" applyAlignment="1">
      <alignment vertical="top" wrapText="1"/>
    </xf>
    <xf numFmtId="3" fontId="20" fillId="0" borderId="1" xfId="0" applyNumberFormat="1" applyFont="1" applyBorder="1" applyAlignment="1">
      <alignment wrapText="1"/>
    </xf>
    <xf numFmtId="3" fontId="0" fillId="0" borderId="1" xfId="0" applyNumberFormat="1" applyBorder="1"/>
    <xf numFmtId="3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horizontal="center" wrapText="1"/>
    </xf>
    <xf numFmtId="3" fontId="2" fillId="0" borderId="1" xfId="0" applyNumberFormat="1" applyFont="1" applyBorder="1" applyAlignment="1">
      <alignment wrapText="1"/>
    </xf>
    <xf numFmtId="3" fontId="2" fillId="0" borderId="1" xfId="0" applyNumberFormat="1" applyFont="1" applyBorder="1"/>
    <xf numFmtId="3" fontId="27" fillId="0" borderId="1" xfId="0" applyNumberFormat="1" applyFont="1" applyBorder="1"/>
    <xf numFmtId="42" fontId="0" fillId="0" borderId="1" xfId="0" applyNumberFormat="1" applyBorder="1" applyAlignment="1">
      <alignment wrapText="1"/>
    </xf>
    <xf numFmtId="42" fontId="2" fillId="0" borderId="1" xfId="0" applyNumberFormat="1" applyFont="1" applyBorder="1" applyAlignment="1">
      <alignment wrapText="1"/>
    </xf>
    <xf numFmtId="15" fontId="0" fillId="0" borderId="1" xfId="0" applyNumberFormat="1" applyBorder="1"/>
    <xf numFmtId="43" fontId="0" fillId="0" borderId="0" xfId="0" applyNumberFormat="1"/>
    <xf numFmtId="168" fontId="0" fillId="0" borderId="0" xfId="0" applyNumberFormat="1"/>
    <xf numFmtId="3" fontId="0" fillId="14" borderId="0" xfId="0" applyNumberFormat="1" applyFill="1"/>
    <xf numFmtId="0" fontId="1" fillId="0" borderId="18" xfId="0" applyFont="1" applyBorder="1" applyAlignment="1">
      <alignment vertical="center"/>
    </xf>
    <xf numFmtId="41" fontId="0" fillId="0" borderId="0" xfId="0" applyNumberFormat="1"/>
    <xf numFmtId="41" fontId="15" fillId="0" borderId="0" xfId="0" applyNumberFormat="1" applyFont="1"/>
    <xf numFmtId="41" fontId="16" fillId="0" borderId="0" xfId="0" applyNumberFormat="1" applyFont="1" applyAlignment="1">
      <alignment horizontal="left"/>
    </xf>
    <xf numFmtId="41" fontId="15" fillId="0" borderId="0" xfId="0" applyNumberFormat="1" applyFont="1" applyAlignment="1">
      <alignment horizontal="left"/>
    </xf>
    <xf numFmtId="41" fontId="13" fillId="0" borderId="0" xfId="0" applyNumberFormat="1" applyFont="1"/>
    <xf numFmtId="41" fontId="13" fillId="0" borderId="5" xfId="0" applyNumberFormat="1" applyFont="1" applyBorder="1"/>
    <xf numFmtId="3" fontId="0" fillId="0" borderId="0" xfId="0" applyNumberFormat="1"/>
    <xf numFmtId="41" fontId="2" fillId="0" borderId="0" xfId="0" applyNumberFormat="1" applyFont="1"/>
    <xf numFmtId="41" fontId="0" fillId="0" borderId="4" xfId="0" applyNumberFormat="1" applyBorder="1"/>
    <xf numFmtId="41" fontId="0" fillId="0" borderId="5" xfId="0" applyNumberFormat="1" applyBorder="1"/>
    <xf numFmtId="41" fontId="2" fillId="0" borderId="7" xfId="0" applyNumberFormat="1" applyFont="1" applyBorder="1"/>
    <xf numFmtId="2" fontId="4" fillId="0" borderId="19" xfId="0" applyNumberFormat="1" applyFont="1" applyBorder="1"/>
    <xf numFmtId="17" fontId="2" fillId="0" borderId="1" xfId="0" applyNumberFormat="1" applyFont="1" applyBorder="1"/>
    <xf numFmtId="17" fontId="2" fillId="0" borderId="1" xfId="0" applyNumberFormat="1" applyFont="1" applyBorder="1" applyAlignment="1">
      <alignment horizontal="left"/>
    </xf>
    <xf numFmtId="2" fontId="17" fillId="0" borderId="1" xfId="0" applyNumberFormat="1" applyFont="1" applyBorder="1"/>
    <xf numFmtId="169" fontId="0" fillId="0" borderId="0" xfId="0" applyNumberFormat="1"/>
    <xf numFmtId="5" fontId="0" fillId="0" borderId="0" xfId="0" applyNumberFormat="1"/>
    <xf numFmtId="5" fontId="3" fillId="0" borderId="7" xfId="0" applyNumberFormat="1" applyFont="1" applyBorder="1" applyAlignment="1">
      <alignment horizontal="center"/>
    </xf>
    <xf numFmtId="5" fontId="0" fillId="0" borderId="8" xfId="0" applyNumberFormat="1" applyBorder="1"/>
    <xf numFmtId="5" fontId="0" fillId="0" borderId="2" xfId="0" applyNumberFormat="1" applyBorder="1"/>
    <xf numFmtId="5" fontId="3" fillId="0" borderId="3" xfId="0" applyNumberFormat="1" applyFont="1" applyBorder="1"/>
    <xf numFmtId="5" fontId="2" fillId="0" borderId="3" xfId="0" applyNumberFormat="1" applyFont="1" applyBorder="1"/>
    <xf numFmtId="5" fontId="2" fillId="0" borderId="0" xfId="0" applyNumberFormat="1" applyFont="1"/>
    <xf numFmtId="5" fontId="0" fillId="6" borderId="0" xfId="0" applyNumberFormat="1" applyFill="1"/>
    <xf numFmtId="4" fontId="1" fillId="0" borderId="1" xfId="0" applyNumberFormat="1" applyFont="1" applyBorder="1" applyAlignment="1">
      <alignment vertical="center"/>
    </xf>
    <xf numFmtId="4" fontId="12" fillId="0" borderId="1" xfId="0" applyNumberFormat="1" applyFont="1" applyBorder="1" applyAlignment="1">
      <alignment vertical="center"/>
    </xf>
    <xf numFmtId="4" fontId="11" fillId="5" borderId="6" xfId="0" applyNumberFormat="1" applyFont="1" applyFill="1" applyBorder="1"/>
    <xf numFmtId="4" fontId="10" fillId="5" borderId="6" xfId="0" applyNumberFormat="1" applyFont="1" applyFill="1" applyBorder="1"/>
    <xf numFmtId="0" fontId="0" fillId="0" borderId="20" xfId="0" applyBorder="1"/>
    <xf numFmtId="14" fontId="1" fillId="0" borderId="0" xfId="0" applyNumberFormat="1" applyFont="1" applyAlignment="1">
      <alignment vertical="center"/>
    </xf>
    <xf numFmtId="0" fontId="1" fillId="0" borderId="9" xfId="0" applyFont="1" applyBorder="1" applyAlignment="1">
      <alignment vertical="center"/>
    </xf>
    <xf numFmtId="7" fontId="0" fillId="0" borderId="0" xfId="0" applyNumberFormat="1"/>
    <xf numFmtId="7" fontId="0" fillId="0" borderId="2" xfId="0" applyNumberFormat="1" applyBorder="1"/>
    <xf numFmtId="7" fontId="3" fillId="0" borderId="3" xfId="0" applyNumberFormat="1" applyFont="1" applyBorder="1"/>
    <xf numFmtId="7" fontId="2" fillId="0" borderId="3" xfId="0" applyNumberFormat="1" applyFont="1" applyBorder="1"/>
    <xf numFmtId="7" fontId="2" fillId="0" borderId="0" xfId="0" applyNumberFormat="1" applyFont="1"/>
    <xf numFmtId="7" fontId="3" fillId="0" borderId="7" xfId="0" applyNumberFormat="1" applyFont="1" applyBorder="1" applyAlignment="1">
      <alignment horizontal="center"/>
    </xf>
    <xf numFmtId="7" fontId="0" fillId="0" borderId="8" xfId="0" applyNumberFormat="1" applyBorder="1"/>
    <xf numFmtId="7" fontId="9" fillId="0" borderId="0" xfId="0" applyNumberFormat="1" applyFont="1"/>
    <xf numFmtId="7" fontId="3" fillId="0" borderId="0" xfId="0" applyNumberFormat="1" applyFont="1" applyAlignment="1">
      <alignment horizontal="center"/>
    </xf>
    <xf numFmtId="3" fontId="0" fillId="0" borderId="2" xfId="0" applyNumberFormat="1" applyBorder="1"/>
    <xf numFmtId="3" fontId="7" fillId="0" borderId="2" xfId="0" applyNumberFormat="1" applyFont="1" applyBorder="1"/>
    <xf numFmtId="3" fontId="3" fillId="0" borderId="3" xfId="0" applyNumberFormat="1" applyFont="1" applyBorder="1"/>
    <xf numFmtId="3" fontId="6" fillId="0" borderId="0" xfId="0" applyNumberFormat="1" applyFont="1" applyAlignment="1">
      <alignment horizontal="right"/>
    </xf>
    <xf numFmtId="3" fontId="2" fillId="0" borderId="3" xfId="0" applyNumberFormat="1" applyFont="1" applyBorder="1"/>
    <xf numFmtId="3" fontId="13" fillId="0" borderId="0" xfId="0" applyNumberFormat="1" applyFont="1" applyAlignment="1">
      <alignment horizontal="left"/>
    </xf>
    <xf numFmtId="3" fontId="4" fillId="0" borderId="1" xfId="0" applyNumberFormat="1" applyFont="1" applyBorder="1"/>
    <xf numFmtId="3" fontId="15" fillId="0" borderId="0" xfId="0" applyNumberFormat="1" applyFont="1"/>
    <xf numFmtId="3" fontId="1" fillId="0" borderId="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wrapText="1"/>
    </xf>
    <xf numFmtId="0" fontId="33" fillId="0" borderId="0" xfId="0" applyFont="1"/>
    <xf numFmtId="14" fontId="32" fillId="0" borderId="1" xfId="0" applyNumberFormat="1" applyFont="1" applyBorder="1"/>
    <xf numFmtId="0" fontId="32" fillId="0" borderId="1" xfId="0" applyFont="1" applyBorder="1"/>
    <xf numFmtId="3" fontId="2" fillId="0" borderId="0" xfId="0" applyNumberFormat="1" applyFont="1"/>
    <xf numFmtId="0" fontId="25" fillId="0" borderId="0" xfId="0" applyFont="1" applyAlignment="1">
      <alignment horizontal="justify" vertical="center"/>
    </xf>
    <xf numFmtId="0" fontId="23" fillId="0" borderId="0" xfId="0" applyFont="1" applyAlignment="1">
      <alignment horizontal="justify" vertical="center"/>
    </xf>
    <xf numFmtId="8" fontId="25" fillId="0" borderId="0" xfId="0" applyNumberFormat="1" applyFont="1" applyAlignment="1">
      <alignment horizontal="justify" vertical="center"/>
    </xf>
    <xf numFmtId="3" fontId="23" fillId="0" borderId="0" xfId="0" applyNumberFormat="1" applyFont="1" applyAlignment="1">
      <alignment horizontal="right" vertical="center"/>
    </xf>
    <xf numFmtId="3" fontId="0" fillId="0" borderId="10" xfId="0" applyNumberFormat="1" applyBorder="1" applyAlignment="1">
      <alignment horizontal="right"/>
    </xf>
    <xf numFmtId="3" fontId="0" fillId="0" borderId="0" xfId="0" applyNumberFormat="1" applyAlignment="1">
      <alignment horizontal="right"/>
    </xf>
    <xf numFmtId="3" fontId="2" fillId="0" borderId="0" xfId="0" applyNumberFormat="1" applyFont="1" applyAlignment="1">
      <alignment horizontal="right"/>
    </xf>
    <xf numFmtId="4" fontId="28" fillId="15" borderId="0" xfId="0" applyNumberFormat="1" applyFont="1" applyFill="1" applyAlignment="1">
      <alignment horizontal="center" wrapText="1"/>
    </xf>
    <xf numFmtId="4" fontId="28" fillId="15" borderId="0" xfId="0" applyNumberFormat="1" applyFont="1" applyFill="1" applyAlignment="1">
      <alignment wrapText="1"/>
    </xf>
    <xf numFmtId="4" fontId="29" fillId="15" borderId="0" xfId="0" applyNumberFormat="1" applyFont="1" applyFill="1" applyAlignment="1">
      <alignment wrapText="1"/>
    </xf>
    <xf numFmtId="4" fontId="0" fillId="0" borderId="0" xfId="0" applyNumberFormat="1" applyAlignment="1">
      <alignment wrapText="1"/>
    </xf>
    <xf numFmtId="4" fontId="2" fillId="0" borderId="0" xfId="0" applyNumberFormat="1" applyFont="1" applyAlignment="1">
      <alignment wrapText="1"/>
    </xf>
    <xf numFmtId="4" fontId="32" fillId="0" borderId="0" xfId="0" applyNumberFormat="1" applyFont="1" applyAlignment="1">
      <alignment wrapText="1"/>
    </xf>
    <xf numFmtId="4" fontId="20" fillId="0" borderId="0" xfId="0" applyNumberFormat="1" applyFont="1" applyAlignment="1">
      <alignment wrapText="1"/>
    </xf>
    <xf numFmtId="4" fontId="14" fillId="0" borderId="0" xfId="0" applyNumberFormat="1" applyFont="1" applyAlignment="1">
      <alignment wrapText="1"/>
    </xf>
    <xf numFmtId="4" fontId="10" fillId="0" borderId="0" xfId="0" applyNumberFormat="1" applyFont="1"/>
    <xf numFmtId="4" fontId="0" fillId="11" borderId="0" xfId="0" applyNumberFormat="1" applyFill="1"/>
    <xf numFmtId="4" fontId="0" fillId="13" borderId="0" xfId="0" applyNumberFormat="1" applyFill="1"/>
    <xf numFmtId="4" fontId="0" fillId="16" borderId="0" xfId="0" applyNumberFormat="1" applyFill="1" applyAlignment="1">
      <alignment wrapText="1"/>
    </xf>
    <xf numFmtId="4" fontId="0" fillId="16" borderId="0" xfId="0" applyNumberFormat="1" applyFill="1"/>
    <xf numFmtId="3" fontId="0" fillId="0" borderId="0" xfId="0" applyNumberFormat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3" fillId="0" borderId="0" xfId="0" applyFont="1" applyAlignment="1">
      <alignment horizontal="center"/>
    </xf>
    <xf numFmtId="4" fontId="25" fillId="0" borderId="0" xfId="0" applyNumberFormat="1" applyFont="1" applyAlignment="1">
      <alignment wrapText="1"/>
    </xf>
    <xf numFmtId="4" fontId="0" fillId="0" borderId="0" xfId="0" applyNumberFormat="1"/>
    <xf numFmtId="4" fontId="35" fillId="12" borderId="0" xfId="0" applyNumberFormat="1" applyFont="1" applyFill="1" applyAlignment="1">
      <alignment horizontal="center" wrapText="1"/>
    </xf>
    <xf numFmtId="4" fontId="35" fillId="12" borderId="0" xfId="0" applyNumberFormat="1" applyFont="1" applyFill="1" applyAlignment="1">
      <alignment wrapText="1"/>
    </xf>
    <xf numFmtId="4" fontId="36" fillId="12" borderId="0" xfId="0" applyNumberFormat="1" applyFont="1" applyFill="1" applyAlignment="1">
      <alignment wrapText="1"/>
    </xf>
    <xf numFmtId="4" fontId="4" fillId="12" borderId="0" xfId="0" applyNumberFormat="1" applyFont="1" applyFill="1" applyAlignment="1">
      <alignment wrapText="1"/>
    </xf>
    <xf numFmtId="0" fontId="4" fillId="12" borderId="0" xfId="0" applyFont="1" applyFill="1"/>
    <xf numFmtId="4" fontId="0" fillId="0" borderId="0" xfId="0" applyNumberFormat="1" applyFill="1"/>
    <xf numFmtId="4" fontId="2" fillId="0" borderId="0" xfId="0" applyNumberFormat="1" applyFont="1" applyFill="1"/>
    <xf numFmtId="9" fontId="0" fillId="0" borderId="0" xfId="0" applyNumberFormat="1"/>
    <xf numFmtId="4" fontId="4" fillId="0" borderId="0" xfId="0" applyNumberFormat="1" applyFont="1" applyFill="1"/>
    <xf numFmtId="4" fontId="17" fillId="0" borderId="0" xfId="0" applyNumberFormat="1" applyFont="1" applyFill="1"/>
    <xf numFmtId="4" fontId="4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tanton St John Parish Council" id="{4717977E-B012-46F5-A63A-8B045CFCFCC3}" userId="S::clerk@stantonstjohnparishcouncil.gov.uk::f5d5a976-aefd-4f58-bb7d-b873996afcca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P3" dT="2025-11-11T12:05:09.90" personId="{4717977E-B012-46F5-A63A-8B045CFCFCC3}" id="{A29D59DD-46B2-4A20-80C1-F972372DAE88}">
    <text xml:space="preserve">More interest as moved monies into a savings account 				
</text>
  </threadedComment>
  <threadedComment ref="T3" dT="2025-11-11T12:37:01.16" personId="{4717977E-B012-46F5-A63A-8B045CFCFCC3}" id="{069C8982-F3F5-4575-B9C6-6E06BF4095DC}">
    <text>Less interest if reserves spent on traffic calming measures</text>
  </threadedComment>
  <threadedComment ref="T4" dT="2025-11-11T12:34:48.59" personId="{4717977E-B012-46F5-A63A-8B045CFCFCC3}" id="{04F4B100-2399-4723-8E87-AFE1313EE5B4}">
    <text xml:space="preserve">5% increase. RPI 4.5% to August 2025. Council Tax this year £128.21,Next year £137.90, a yearly increase of £9.69, 0.80p a month.  </text>
  </threadedComment>
  <threadedComment ref="R6" dT="2025-11-11T12:19:22.12" personId="{4717977E-B012-46F5-A63A-8B045CFCFCC3}" id="{67F2D0A4-12D0-42CC-B054-E038832E4653}">
    <text xml:space="preserve">Surplus income </text>
  </threadedComment>
  <threadedComment ref="T9" dT="2025-11-11T12:43:49.34" personId="{4717977E-B012-46F5-A63A-8B045CFCFCC3}" id="{6BB831D3-2BE7-4762-A03A-B8F67729DCA4}">
    <text xml:space="preserve">Increment in May (CiLCA) - to be agreed by Council &amp; national pay award, assume 3.5% increase (below RPI as this year) </text>
  </threadedComment>
  <threadedComment ref="T10" dT="2025-11-11T12:45:18.63" personId="{4717977E-B012-46F5-A63A-8B045CFCFCC3}" id="{BECAF465-8FC4-4789-B0F4-58454D7466FC}">
    <text>15% over £5,000</text>
  </threadedComment>
  <threadedComment ref="T11" dT="2025-11-11T12:45:58.44" personId="{4717977E-B012-46F5-A63A-8B045CFCFCC3}" id="{E43D17EA-DB1C-42BA-A304-64FB9929DE2C}">
    <text xml:space="preserve">21.7 % gross income </text>
  </threadedComment>
  <threadedComment ref="P12" dT="2025-11-11T12:05:52.28" personId="{4717977E-B012-46F5-A63A-8B045CFCFCC3}" id="{F764230F-2CB6-4D7A-A547-B58AA809D957}">
    <text xml:space="preserve">Included in salary	
</text>
  </threadedComment>
  <threadedComment ref="P13" dT="2025-11-11T12:06:16.24" personId="{4717977E-B012-46F5-A63A-8B045CFCFCC3}" id="{3BCD164A-0790-42C0-A17F-96E3027FBE1D}">
    <text xml:space="preserve">Included in salary	
</text>
  </threadedComment>
  <threadedComment ref="R14" dT="2025-11-11T12:06:44.48" personId="{4717977E-B012-46F5-A63A-8B045CFCFCC3}" id="{C57427BA-9A86-4595-B609-C86A451AC855}">
    <text xml:space="preserve">Less milage and Clerk pays not increased beyound the national pay award. 						
</text>
  </threadedComment>
  <threadedComment ref="P21" dT="2025-11-11T12:08:47.07" personId="{4717977E-B012-46F5-A63A-8B045CFCFCC3}" id="{9317AD05-9A0B-4660-9670-2E8FD23948E7}">
    <text xml:space="preserve">Includes new dog bin 	
</text>
  </threadedComment>
  <threadedComment ref="R35" dT="2025-11-11T12:09:41.18" personId="{4717977E-B012-46F5-A63A-8B045CFCFCC3}" id="{49B57393-4B76-45A5-8326-D5109D09DF2C}">
    <text>New IT infrastructure</text>
  </threadedComment>
  <threadedComment ref="T70" dT="2025-11-12T12:05:06.48" personId="{4717977E-B012-46F5-A63A-8B045CFCFCC3}" id="{47BD6831-6C0C-481D-BB22-0959EE4811BE}">
    <text>To build up a fund to help replace the playground in 10+ years time</text>
  </threadedComment>
  <threadedComment ref="T71" dT="2025-11-12T12:05:54.25" personId="{4717977E-B012-46F5-A63A-8B045CFCFCC3}" id="{DB3B130E-A691-4784-957A-FFA70F4B5181}">
    <text xml:space="preserve">General maintenance 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P3" dT="2025-11-11T12:05:09.90" personId="{4717977E-B012-46F5-A63A-8B045CFCFCC3}" id="{18196824-1B44-46B4-85CA-4E7E0CDDC623}">
    <text xml:space="preserve">More interest as moved monies into a savings account 				
</text>
  </threadedComment>
  <threadedComment ref="R6" dT="2025-11-11T12:19:22.12" personId="{4717977E-B012-46F5-A63A-8B045CFCFCC3}" id="{10CEFB4B-3F38-46E6-B164-B7D26DC04D9F}">
    <text xml:space="preserve">Surplus income </text>
  </threadedComment>
  <threadedComment ref="V10" dT="2026-09-19T14:33:41.63" personId="{4717977E-B012-46F5-A63A-8B045CFCFCC3}" id="{156FFF80-082E-4A57-85D7-5A8C00807496}">
    <text>Lower as credit on account from overpayment last year.</text>
  </threadedComment>
  <threadedComment ref="P12" dT="2025-11-11T12:05:52.28" personId="{4717977E-B012-46F5-A63A-8B045CFCFCC3}" id="{8C039873-DC8E-41E9-8E9B-A41A676B320B}">
    <text xml:space="preserve">Included in salary	
</text>
  </threadedComment>
  <threadedComment ref="P13" dT="2025-11-11T12:06:16.24" personId="{4717977E-B012-46F5-A63A-8B045CFCFCC3}" id="{72AF067F-EFBC-4367-B8A6-417EE5ABEAC6}">
    <text xml:space="preserve">Included in salary	
</text>
  </threadedComment>
  <threadedComment ref="R14" dT="2025-11-11T12:06:44.48" personId="{4717977E-B012-46F5-A63A-8B045CFCFCC3}" id="{CFFB8E92-C7B3-409C-99D8-35C39E9A493A}">
    <text xml:space="preserve">Less milage and Clerk pays not increased beyound the national pay award. 						
</text>
  </threadedComment>
  <threadedComment ref="V16" dT="2026-09-19T14:36:17.89" personId="{4717977E-B012-46F5-A63A-8B045CFCFCC3}" id="{79B59DC9-3E15-417A-AF10-304DA9862A4F}">
    <text>4 cheques to be written in September</text>
  </threadedComment>
  <threadedComment ref="P21" dT="2025-11-11T12:08:47.07" personId="{4717977E-B012-46F5-A63A-8B045CFCFCC3}" id="{8212C2F5-4C26-4B78-9761-3A1462C86D75}">
    <text xml:space="preserve">Includes new dog bin 	
</text>
  </threadedComment>
  <threadedComment ref="V33" dT="2026-09-19T14:44:20.64" personId="{4717977E-B012-46F5-A63A-8B045CFCFCC3}" id="{80472C1D-3FC4-47A1-A94C-5D12682DFDD9}">
    <text>Microshade sold to another company and and costs up 30% with no extra benefit</text>
  </threadedComment>
  <threadedComment ref="R35" dT="2025-11-11T12:09:41.18" personId="{4717977E-B012-46F5-A63A-8B045CFCFCC3}" id="{7A0AED0C-397E-4829-95D6-C3203B4158E1}">
    <text>New IT infrastructure</text>
  </threadedComment>
  <threadedComment ref="T69" dT="2025-11-12T12:05:06.48" personId="{4717977E-B012-46F5-A63A-8B045CFCFCC3}" id="{E59C9CF7-D15D-4A05-B351-867A954A98DE}">
    <text>To build up a fund to help replace the playground in 10+ years time</text>
  </threadedComment>
  <threadedComment ref="T70" dT="2025-11-12T12:05:54.25" personId="{4717977E-B012-46F5-A63A-8B045CFCFCC3}" id="{09E8AF09-23A7-4EBC-9BEC-50B6D0943DE0}">
    <text xml:space="preserve">General maintenance 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1.xml"/></Relationships>
</file>

<file path=xl/worksheets/_rels/sheet1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D05F9-AE40-4BB4-AB6B-3C3470DB7A99}">
  <dimension ref="A3:I42"/>
  <sheetViews>
    <sheetView workbookViewId="0">
      <selection activeCell="F7" sqref="F7"/>
    </sheetView>
  </sheetViews>
  <sheetFormatPr defaultRowHeight="14.4" x14ac:dyDescent="0.3"/>
  <cols>
    <col min="1" max="1" width="14.88671875" customWidth="1"/>
    <col min="6" max="6" width="12.6640625" customWidth="1"/>
    <col min="8" max="8" width="10.5546875" bestFit="1" customWidth="1"/>
  </cols>
  <sheetData>
    <row r="3" spans="1:9" x14ac:dyDescent="0.3">
      <c r="C3" s="38" t="s">
        <v>346</v>
      </c>
      <c r="D3" s="38"/>
      <c r="E3" s="38"/>
      <c r="F3" s="38"/>
    </row>
    <row r="5" spans="1:9" x14ac:dyDescent="0.3">
      <c r="A5" t="s">
        <v>357</v>
      </c>
    </row>
    <row r="7" spans="1:9" x14ac:dyDescent="0.3">
      <c r="E7" s="38"/>
      <c r="F7" s="38" t="s">
        <v>219</v>
      </c>
      <c r="H7" s="38" t="s">
        <v>246</v>
      </c>
    </row>
    <row r="8" spans="1:9" x14ac:dyDescent="0.3">
      <c r="A8" s="38" t="s">
        <v>267</v>
      </c>
      <c r="H8" s="205"/>
    </row>
    <row r="9" spans="1:9" x14ac:dyDescent="0.3">
      <c r="B9" t="s">
        <v>251</v>
      </c>
      <c r="F9" s="208"/>
      <c r="G9" s="208"/>
      <c r="H9" s="208"/>
      <c r="I9" s="204"/>
    </row>
    <row r="10" spans="1:9" x14ac:dyDescent="0.3">
      <c r="B10" t="s">
        <v>200</v>
      </c>
      <c r="F10" s="208"/>
      <c r="G10" s="208"/>
      <c r="H10" s="208"/>
      <c r="I10" s="204"/>
    </row>
    <row r="11" spans="1:9" x14ac:dyDescent="0.3">
      <c r="B11" t="s">
        <v>252</v>
      </c>
      <c r="F11" s="208"/>
      <c r="G11" s="208"/>
      <c r="H11" s="208"/>
      <c r="I11" s="204"/>
    </row>
    <row r="12" spans="1:9" x14ac:dyDescent="0.3">
      <c r="B12" t="s">
        <v>253</v>
      </c>
      <c r="F12" s="208"/>
      <c r="G12" s="208"/>
      <c r="H12" s="208"/>
      <c r="I12" s="204"/>
    </row>
    <row r="13" spans="1:9" x14ac:dyDescent="0.3">
      <c r="B13" t="s">
        <v>268</v>
      </c>
      <c r="F13" s="208"/>
      <c r="G13" s="208"/>
      <c r="H13" s="208"/>
      <c r="I13" s="204"/>
    </row>
    <row r="14" spans="1:9" hidden="1" x14ac:dyDescent="0.3">
      <c r="F14" s="208"/>
      <c r="G14" s="208"/>
      <c r="H14" s="208"/>
      <c r="I14" s="204"/>
    </row>
    <row r="15" spans="1:9" x14ac:dyDescent="0.3">
      <c r="F15" s="208"/>
      <c r="G15" s="208"/>
      <c r="H15" s="208"/>
      <c r="I15" s="204"/>
    </row>
    <row r="16" spans="1:9" x14ac:dyDescent="0.3">
      <c r="B16" t="s">
        <v>110</v>
      </c>
      <c r="F16" s="216"/>
      <c r="G16" s="208"/>
      <c r="H16" s="216"/>
      <c r="I16" s="204"/>
    </row>
    <row r="17" spans="1:9" x14ac:dyDescent="0.3">
      <c r="F17" s="208"/>
      <c r="G17" s="208"/>
      <c r="H17" s="208"/>
      <c r="I17" s="204"/>
    </row>
    <row r="18" spans="1:9" x14ac:dyDescent="0.3">
      <c r="A18" s="38" t="s">
        <v>113</v>
      </c>
      <c r="F18" s="208"/>
      <c r="G18" s="208"/>
      <c r="H18" s="208"/>
      <c r="I18" s="204"/>
    </row>
    <row r="19" spans="1:9" x14ac:dyDescent="0.3">
      <c r="B19" s="52" t="s">
        <v>254</v>
      </c>
      <c r="F19" s="208"/>
      <c r="G19" s="208"/>
      <c r="H19" s="208"/>
      <c r="I19" s="204"/>
    </row>
    <row r="20" spans="1:9" x14ac:dyDescent="0.3">
      <c r="C20" s="52" t="s">
        <v>255</v>
      </c>
      <c r="F20" s="208"/>
      <c r="G20" s="208"/>
      <c r="H20" s="208">
        <f>Payments!M103+Payments!N103</f>
        <v>0</v>
      </c>
      <c r="I20" s="204"/>
    </row>
    <row r="21" spans="1:9" x14ac:dyDescent="0.3">
      <c r="C21" s="52" t="s">
        <v>256</v>
      </c>
      <c r="F21" s="208"/>
      <c r="G21" s="208"/>
      <c r="H21" s="208">
        <f>Payments!F103+Payments!G103+Payments!I103</f>
        <v>0</v>
      </c>
      <c r="I21" s="204"/>
    </row>
    <row r="22" spans="1:9" x14ac:dyDescent="0.3">
      <c r="B22" s="52" t="s">
        <v>257</v>
      </c>
      <c r="F22" s="208"/>
      <c r="G22" s="208"/>
      <c r="H22" s="208">
        <f>Payments!O103</f>
        <v>0</v>
      </c>
      <c r="I22" s="204"/>
    </row>
    <row r="23" spans="1:9" x14ac:dyDescent="0.3">
      <c r="B23" s="52" t="s">
        <v>21</v>
      </c>
      <c r="F23" s="208"/>
      <c r="G23" s="208"/>
      <c r="H23" s="208">
        <f>Payments!L103</f>
        <v>0</v>
      </c>
      <c r="I23" s="204"/>
    </row>
    <row r="24" spans="1:9" x14ac:dyDescent="0.3">
      <c r="F24" s="208"/>
      <c r="G24" s="208"/>
      <c r="H24" s="208"/>
      <c r="I24" s="204"/>
    </row>
    <row r="25" spans="1:9" x14ac:dyDescent="0.3">
      <c r="B25" s="52" t="s">
        <v>258</v>
      </c>
      <c r="F25" s="208"/>
      <c r="G25" s="208"/>
      <c r="H25" s="208">
        <f>SUM(Payments!P103:T103)</f>
        <v>0</v>
      </c>
      <c r="I25" s="204"/>
    </row>
    <row r="26" spans="1:9" x14ac:dyDescent="0.3">
      <c r="B26" s="52" t="s">
        <v>259</v>
      </c>
      <c r="F26" s="208"/>
      <c r="G26" s="208"/>
      <c r="H26" s="208">
        <f>Payments!U103</f>
        <v>0</v>
      </c>
      <c r="I26" s="204"/>
    </row>
    <row r="27" spans="1:9" x14ac:dyDescent="0.3">
      <c r="B27" s="52" t="s">
        <v>422</v>
      </c>
      <c r="F27" s="208"/>
      <c r="G27" s="208"/>
      <c r="H27" s="208">
        <f>Payments!W103</f>
        <v>0</v>
      </c>
      <c r="I27" s="204"/>
    </row>
    <row r="28" spans="1:9" x14ac:dyDescent="0.3">
      <c r="B28" s="52" t="s">
        <v>260</v>
      </c>
      <c r="F28" s="208"/>
      <c r="G28" s="208"/>
      <c r="H28" s="208">
        <v>0</v>
      </c>
      <c r="I28" s="204"/>
    </row>
    <row r="29" spans="1:9" x14ac:dyDescent="0.3">
      <c r="B29" s="52" t="s">
        <v>261</v>
      </c>
      <c r="F29" s="208"/>
      <c r="G29" s="208"/>
      <c r="H29" s="208">
        <f>Payments!Y103</f>
        <v>0</v>
      </c>
      <c r="I29" s="204"/>
    </row>
    <row r="30" spans="1:9" x14ac:dyDescent="0.3">
      <c r="B30" s="52"/>
      <c r="F30" s="208"/>
      <c r="G30" s="208"/>
      <c r="H30" s="208"/>
      <c r="I30" s="204"/>
    </row>
    <row r="31" spans="1:9" x14ac:dyDescent="0.3">
      <c r="B31" t="s">
        <v>424</v>
      </c>
      <c r="F31" s="217"/>
      <c r="G31" s="208"/>
      <c r="H31" s="217">
        <f>SUM(H20:H29)</f>
        <v>0</v>
      </c>
      <c r="I31" s="204"/>
    </row>
    <row r="32" spans="1:9" x14ac:dyDescent="0.3">
      <c r="F32" s="208"/>
      <c r="G32" s="208"/>
      <c r="H32" s="208"/>
      <c r="I32" s="204"/>
    </row>
    <row r="33" spans="1:9" x14ac:dyDescent="0.3">
      <c r="A33" s="38" t="s">
        <v>262</v>
      </c>
      <c r="F33" s="208"/>
      <c r="G33" s="208"/>
      <c r="H33" s="208"/>
      <c r="I33" s="204"/>
    </row>
    <row r="34" spans="1:9" x14ac:dyDescent="0.3">
      <c r="B34" s="52" t="s">
        <v>263</v>
      </c>
      <c r="F34" s="216"/>
      <c r="G34" s="208"/>
      <c r="H34" s="216"/>
      <c r="I34" s="204"/>
    </row>
    <row r="35" spans="1:9" x14ac:dyDescent="0.3">
      <c r="B35" s="52" t="s">
        <v>264</v>
      </c>
      <c r="F35" s="217"/>
      <c r="G35" s="208"/>
      <c r="H35" s="217"/>
      <c r="I35" s="204"/>
    </row>
    <row r="36" spans="1:9" x14ac:dyDescent="0.3">
      <c r="F36" s="217"/>
      <c r="G36" s="208"/>
      <c r="H36" s="217"/>
      <c r="I36" s="204"/>
    </row>
    <row r="37" spans="1:9" x14ac:dyDescent="0.3">
      <c r="B37" s="52" t="s">
        <v>265</v>
      </c>
      <c r="F37" s="208"/>
      <c r="G37" s="208"/>
      <c r="H37" s="208"/>
      <c r="I37" s="204"/>
    </row>
    <row r="38" spans="1:9" ht="15" thickBot="1" x14ac:dyDescent="0.35">
      <c r="B38" s="52" t="s">
        <v>266</v>
      </c>
      <c r="F38" s="218"/>
      <c r="G38" s="208"/>
      <c r="H38" s="218"/>
      <c r="I38" s="204"/>
    </row>
    <row r="39" spans="1:9" ht="15" thickTop="1" x14ac:dyDescent="0.3">
      <c r="F39" s="204"/>
      <c r="G39" s="204"/>
      <c r="H39" s="204"/>
      <c r="I39" s="204"/>
    </row>
    <row r="41" spans="1:9" x14ac:dyDescent="0.3">
      <c r="A41" t="s">
        <v>429</v>
      </c>
    </row>
    <row r="42" spans="1:9" x14ac:dyDescent="0.3">
      <c r="A42" t="s">
        <v>430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4C3FC-ED2B-4C4F-88A6-86F96988FC36}">
  <sheetPr>
    <pageSetUpPr fitToPage="1"/>
  </sheetPr>
  <dimension ref="A1:AD133"/>
  <sheetViews>
    <sheetView topLeftCell="D12" zoomScale="85" zoomScaleNormal="85" workbookViewId="0">
      <selection activeCell="X49" sqref="X49"/>
    </sheetView>
  </sheetViews>
  <sheetFormatPr defaultColWidth="8.6640625" defaultRowHeight="14.4" x14ac:dyDescent="0.3"/>
  <cols>
    <col min="1" max="1" width="20" customWidth="1"/>
    <col min="2" max="2" width="44.6640625" customWidth="1"/>
    <col min="3" max="3" width="11.33203125" customWidth="1"/>
    <col min="4" max="4" width="10.5546875" customWidth="1"/>
    <col min="5" max="5" width="14" customWidth="1"/>
    <col min="6" max="6" width="10.33203125" customWidth="1"/>
    <col min="7" max="7" width="12.109375" customWidth="1"/>
    <col min="8" max="8" width="17" customWidth="1"/>
    <col min="9" max="11" width="14.44140625" customWidth="1"/>
    <col min="12" max="12" width="16.5546875" customWidth="1"/>
    <col min="13" max="13" width="14.6640625" customWidth="1"/>
    <col min="14" max="14" width="15.5546875" customWidth="1"/>
    <col min="15" max="15" width="16" customWidth="1"/>
    <col min="16" max="16" width="9.44140625" customWidth="1"/>
    <col min="17" max="17" width="8.33203125" customWidth="1"/>
    <col min="18" max="18" width="11.109375" customWidth="1"/>
    <col min="19" max="19" width="13" customWidth="1"/>
    <col min="20" max="20" width="13.88671875" customWidth="1"/>
    <col min="21" max="21" width="11.6640625" customWidth="1"/>
    <col min="22" max="22" width="15.109375" customWidth="1"/>
    <col min="23" max="23" width="17" customWidth="1"/>
    <col min="24" max="24" width="15.44140625" customWidth="1"/>
    <col min="25" max="25" width="14.44140625" customWidth="1"/>
    <col min="26" max="26" width="19.88671875" customWidth="1"/>
    <col min="27" max="27" width="12" customWidth="1"/>
    <col min="28" max="28" width="14.33203125" customWidth="1"/>
    <col min="29" max="29" width="14.6640625" customWidth="1"/>
    <col min="30" max="30" width="21.5546875" customWidth="1"/>
    <col min="31" max="41" width="8.6640625" customWidth="1"/>
  </cols>
  <sheetData>
    <row r="1" spans="1:30" ht="28.8" x14ac:dyDescent="0.3">
      <c r="A1" s="4"/>
      <c r="B1" s="4" t="s">
        <v>2</v>
      </c>
      <c r="C1" s="4" t="s">
        <v>352</v>
      </c>
      <c r="D1" s="4" t="s">
        <v>3</v>
      </c>
      <c r="E1" s="7" t="s">
        <v>8</v>
      </c>
      <c r="F1" s="4" t="s">
        <v>351</v>
      </c>
      <c r="G1" s="4" t="s">
        <v>18</v>
      </c>
      <c r="H1" s="7" t="s">
        <v>516</v>
      </c>
      <c r="I1" s="4" t="s">
        <v>20</v>
      </c>
      <c r="J1" s="7" t="s">
        <v>489</v>
      </c>
      <c r="K1" s="7" t="s">
        <v>490</v>
      </c>
      <c r="L1" s="4" t="s">
        <v>21</v>
      </c>
      <c r="M1" s="4" t="s">
        <v>22</v>
      </c>
      <c r="N1" s="4" t="s">
        <v>549</v>
      </c>
      <c r="O1" s="4" t="s">
        <v>23</v>
      </c>
      <c r="P1" s="4" t="s">
        <v>16</v>
      </c>
      <c r="Q1" s="4" t="s">
        <v>24</v>
      </c>
      <c r="R1" s="4" t="s">
        <v>25</v>
      </c>
      <c r="S1" s="4" t="s">
        <v>270</v>
      </c>
      <c r="T1" s="7" t="s">
        <v>17</v>
      </c>
      <c r="U1" s="4" t="s">
        <v>15</v>
      </c>
      <c r="V1" s="4" t="s">
        <v>271</v>
      </c>
      <c r="W1" s="4" t="s">
        <v>423</v>
      </c>
      <c r="X1" s="4" t="s">
        <v>6</v>
      </c>
      <c r="Y1" s="4" t="s">
        <v>0</v>
      </c>
      <c r="Z1" s="90" t="s">
        <v>1</v>
      </c>
      <c r="AA1" s="4" t="s">
        <v>4</v>
      </c>
      <c r="AB1" s="4" t="s">
        <v>5</v>
      </c>
      <c r="AC1" s="4" t="s">
        <v>4</v>
      </c>
      <c r="AD1" s="146" t="s">
        <v>356</v>
      </c>
    </row>
    <row r="2" spans="1:30" x14ac:dyDescent="0.3">
      <c r="A2" s="1"/>
      <c r="B2" s="1"/>
      <c r="C2" s="1"/>
      <c r="D2" s="1"/>
      <c r="E2" s="1"/>
      <c r="F2" s="284" t="s">
        <v>19</v>
      </c>
      <c r="G2" s="284"/>
      <c r="H2" s="284"/>
      <c r="I2" s="284"/>
      <c r="J2" s="284"/>
      <c r="K2" s="284"/>
      <c r="L2" s="284"/>
      <c r="M2" s="284"/>
      <c r="N2" s="284"/>
      <c r="O2" s="284"/>
      <c r="P2" s="285" t="s">
        <v>269</v>
      </c>
      <c r="Q2" s="285"/>
      <c r="R2" s="285"/>
      <c r="S2" s="285"/>
      <c r="T2" s="285"/>
      <c r="AD2" s="1"/>
    </row>
    <row r="3" spans="1:30" x14ac:dyDescent="0.3">
      <c r="A3" s="1" t="s">
        <v>350</v>
      </c>
      <c r="B3" s="1" t="s">
        <v>440</v>
      </c>
      <c r="C3" s="1" t="s">
        <v>441</v>
      </c>
      <c r="D3" s="1" t="s">
        <v>9</v>
      </c>
      <c r="E3" s="1" t="s">
        <v>442</v>
      </c>
      <c r="F3" s="219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>
        <v>32.22</v>
      </c>
      <c r="T3" s="80"/>
      <c r="U3" s="80"/>
      <c r="V3" s="80"/>
      <c r="W3" s="80"/>
      <c r="X3" s="80">
        <f>SUM(F3:W3)</f>
        <v>32.22</v>
      </c>
      <c r="Y3" s="80">
        <f>X3*0.2</f>
        <v>6.444</v>
      </c>
      <c r="Z3" s="80">
        <f>X3+Y3</f>
        <v>38.664000000000001</v>
      </c>
      <c r="AA3" s="81">
        <v>765</v>
      </c>
      <c r="AB3" s="82">
        <v>44679</v>
      </c>
      <c r="AC3" s="147"/>
      <c r="AD3" s="1"/>
    </row>
    <row r="4" spans="1:30" x14ac:dyDescent="0.3">
      <c r="A4" s="261" t="s">
        <v>517</v>
      </c>
      <c r="B4" s="81" t="s">
        <v>12</v>
      </c>
      <c r="C4" s="83" t="s">
        <v>441</v>
      </c>
      <c r="D4" s="84"/>
      <c r="E4" s="81" t="s">
        <v>353</v>
      </c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>
        <v>150</v>
      </c>
      <c r="T4" s="80"/>
      <c r="U4" s="80"/>
      <c r="V4" s="80"/>
      <c r="W4" s="80"/>
      <c r="X4" s="80">
        <f t="shared" ref="X4:X48" si="0">SUM(F4:W4)</f>
        <v>150</v>
      </c>
      <c r="Y4" s="80">
        <f t="shared" ref="Y4:Y48" si="1">X4*0.2</f>
        <v>30</v>
      </c>
      <c r="Z4" s="80">
        <f t="shared" ref="Z4:Z72" si="2">X4+Y4</f>
        <v>180</v>
      </c>
      <c r="AA4" s="81">
        <v>766</v>
      </c>
      <c r="AB4" s="82">
        <v>44679</v>
      </c>
      <c r="AC4" s="147"/>
      <c r="AD4" s="1"/>
    </row>
    <row r="5" spans="1:30" x14ac:dyDescent="0.3">
      <c r="A5" s="1" t="s">
        <v>518</v>
      </c>
      <c r="B5" s="81" t="s">
        <v>443</v>
      </c>
      <c r="C5" s="83" t="s">
        <v>441</v>
      </c>
      <c r="D5" s="84"/>
      <c r="E5" s="81" t="s">
        <v>349</v>
      </c>
      <c r="F5" s="80"/>
      <c r="G5" s="80"/>
      <c r="H5" s="80"/>
      <c r="I5" s="80"/>
      <c r="J5" s="80"/>
      <c r="K5" s="80"/>
      <c r="L5" s="80">
        <v>25</v>
      </c>
      <c r="M5" s="80"/>
      <c r="N5" s="80"/>
      <c r="O5" s="80"/>
      <c r="P5" s="80"/>
      <c r="Q5" s="80"/>
      <c r="R5" s="80"/>
      <c r="S5" s="80"/>
      <c r="T5" s="80"/>
      <c r="U5" s="80"/>
      <c r="V5" s="80"/>
      <c r="X5" s="80">
        <f t="shared" si="0"/>
        <v>25</v>
      </c>
      <c r="Y5" s="80">
        <v>0</v>
      </c>
      <c r="Z5" s="80">
        <f t="shared" si="2"/>
        <v>25</v>
      </c>
      <c r="AA5" s="81">
        <v>767</v>
      </c>
      <c r="AB5" s="82">
        <v>44697</v>
      </c>
      <c r="AC5" s="147"/>
      <c r="AD5" s="1"/>
    </row>
    <row r="6" spans="1:30" x14ac:dyDescent="0.3">
      <c r="A6" s="1"/>
      <c r="B6" s="254"/>
      <c r="C6" s="83" t="s">
        <v>441</v>
      </c>
      <c r="D6" s="84"/>
      <c r="E6" s="81" t="s">
        <v>349</v>
      </c>
      <c r="F6" s="80"/>
      <c r="G6" s="80"/>
      <c r="H6" s="80"/>
      <c r="I6" s="80">
        <v>63.99</v>
      </c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>
        <f t="shared" si="0"/>
        <v>63.99</v>
      </c>
      <c r="Y6" s="80">
        <f t="shared" si="1"/>
        <v>12.798000000000002</v>
      </c>
      <c r="Z6" s="80">
        <f t="shared" si="2"/>
        <v>76.788000000000011</v>
      </c>
      <c r="AA6" s="81">
        <v>768</v>
      </c>
      <c r="AB6" s="82">
        <v>44697</v>
      </c>
      <c r="AC6" s="147"/>
      <c r="AD6" s="1"/>
    </row>
    <row r="7" spans="1:30" x14ac:dyDescent="0.3">
      <c r="A7" s="1" t="s">
        <v>520</v>
      </c>
      <c r="B7" s="81" t="s">
        <v>446</v>
      </c>
      <c r="C7" s="83" t="s">
        <v>441</v>
      </c>
      <c r="D7" s="84"/>
      <c r="E7" s="81"/>
      <c r="F7" s="80"/>
      <c r="G7" s="80"/>
      <c r="H7" s="80"/>
      <c r="I7" s="80"/>
      <c r="J7" s="80"/>
      <c r="K7" s="80"/>
      <c r="L7" s="80"/>
      <c r="M7" s="80">
        <v>799.02</v>
      </c>
      <c r="N7" s="80"/>
      <c r="O7" s="80"/>
      <c r="P7" s="80"/>
      <c r="Q7" s="80"/>
      <c r="R7" s="80"/>
      <c r="S7" s="80"/>
      <c r="T7" s="80"/>
      <c r="U7" s="80"/>
      <c r="V7" s="80"/>
      <c r="W7" s="80"/>
      <c r="X7" s="80">
        <f t="shared" si="0"/>
        <v>799.02</v>
      </c>
      <c r="Y7" s="80">
        <v>0</v>
      </c>
      <c r="Z7" s="80">
        <f t="shared" si="2"/>
        <v>799.02</v>
      </c>
      <c r="AA7" s="81">
        <v>769</v>
      </c>
      <c r="AB7" s="82">
        <v>44697</v>
      </c>
      <c r="AC7" s="147"/>
      <c r="AD7" s="1"/>
    </row>
    <row r="8" spans="1:30" x14ac:dyDescent="0.3">
      <c r="A8" s="1" t="s">
        <v>7</v>
      </c>
      <c r="B8" s="81" t="s">
        <v>447</v>
      </c>
      <c r="C8" s="83" t="s">
        <v>441</v>
      </c>
      <c r="D8" s="84"/>
      <c r="E8" s="81" t="s">
        <v>9</v>
      </c>
      <c r="F8" s="80"/>
      <c r="G8" s="80"/>
      <c r="H8" s="80"/>
      <c r="I8" s="80"/>
      <c r="J8" s="80"/>
      <c r="K8" s="80"/>
      <c r="L8" s="80"/>
      <c r="M8" s="80"/>
      <c r="N8" s="80">
        <v>192</v>
      </c>
      <c r="O8" s="80"/>
      <c r="P8" s="80"/>
      <c r="Q8" s="80"/>
      <c r="R8" s="80"/>
      <c r="S8" s="80"/>
      <c r="T8" s="80"/>
      <c r="U8" s="80"/>
      <c r="V8" s="80"/>
      <c r="W8" s="80"/>
      <c r="X8" s="80">
        <f t="shared" si="0"/>
        <v>192</v>
      </c>
      <c r="Y8" s="80">
        <v>0</v>
      </c>
      <c r="Z8" s="80">
        <f t="shared" si="2"/>
        <v>192</v>
      </c>
      <c r="AA8" s="81">
        <v>770</v>
      </c>
      <c r="AB8" s="82">
        <v>44697</v>
      </c>
      <c r="AC8" s="147"/>
      <c r="AD8" s="1"/>
    </row>
    <row r="9" spans="1:30" x14ac:dyDescent="0.3">
      <c r="A9" s="1" t="s">
        <v>521</v>
      </c>
      <c r="B9" s="81" t="s">
        <v>448</v>
      </c>
      <c r="C9" s="83" t="s">
        <v>444</v>
      </c>
      <c r="D9" s="85"/>
      <c r="E9" s="81"/>
      <c r="F9" s="80"/>
      <c r="G9" s="80"/>
      <c r="H9" s="80"/>
      <c r="I9" s="80">
        <v>29.89</v>
      </c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>
        <f t="shared" si="0"/>
        <v>29.89</v>
      </c>
      <c r="Y9" s="80">
        <v>0</v>
      </c>
      <c r="Z9" s="80">
        <f t="shared" si="2"/>
        <v>29.89</v>
      </c>
      <c r="AA9" s="81">
        <v>771</v>
      </c>
      <c r="AB9" s="82">
        <v>44697</v>
      </c>
      <c r="AC9" s="147"/>
      <c r="AD9" s="1"/>
    </row>
    <row r="10" spans="1:30" x14ac:dyDescent="0.3">
      <c r="A10" s="1"/>
      <c r="B10" s="254"/>
      <c r="C10" s="83" t="s">
        <v>444</v>
      </c>
      <c r="D10" s="84"/>
      <c r="E10" s="81" t="s">
        <v>380</v>
      </c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>
        <v>37.590000000000003</v>
      </c>
      <c r="T10" s="80"/>
      <c r="U10" s="80"/>
      <c r="V10" s="80"/>
      <c r="W10" s="161"/>
      <c r="X10" s="80">
        <f t="shared" si="0"/>
        <v>37.590000000000003</v>
      </c>
      <c r="Y10" s="80">
        <f t="shared" si="1"/>
        <v>7.5180000000000007</v>
      </c>
      <c r="Z10" s="80">
        <f t="shared" si="2"/>
        <v>45.108000000000004</v>
      </c>
      <c r="AA10" s="81">
        <v>773</v>
      </c>
      <c r="AB10" s="82">
        <v>44698</v>
      </c>
      <c r="AC10" s="147"/>
      <c r="AD10" s="1"/>
    </row>
    <row r="11" spans="1:30" x14ac:dyDescent="0.3">
      <c r="A11" s="1" t="s">
        <v>445</v>
      </c>
      <c r="B11" s="81" t="s">
        <v>449</v>
      </c>
      <c r="C11" s="83" t="s">
        <v>444</v>
      </c>
      <c r="D11" s="84"/>
      <c r="E11" s="81" t="s">
        <v>380</v>
      </c>
      <c r="F11" s="80"/>
      <c r="G11" s="80"/>
      <c r="H11" s="80"/>
      <c r="I11" s="80">
        <v>30</v>
      </c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161"/>
      <c r="X11" s="80">
        <f t="shared" si="0"/>
        <v>30</v>
      </c>
      <c r="Y11" s="80">
        <v>0</v>
      </c>
      <c r="Z11" s="80">
        <f t="shared" si="2"/>
        <v>30</v>
      </c>
      <c r="AA11" s="81"/>
      <c r="AB11" s="82"/>
      <c r="AC11" s="147"/>
      <c r="AD11" s="1"/>
    </row>
    <row r="12" spans="1:30" x14ac:dyDescent="0.3">
      <c r="A12" s="1" t="s">
        <v>523</v>
      </c>
      <c r="B12" s="81"/>
      <c r="C12" s="83" t="s">
        <v>444</v>
      </c>
      <c r="D12" s="84"/>
      <c r="E12" s="81"/>
      <c r="F12" s="80">
        <v>264</v>
      </c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>
        <f t="shared" si="0"/>
        <v>264</v>
      </c>
      <c r="Y12" s="80">
        <f t="shared" si="1"/>
        <v>52.800000000000004</v>
      </c>
      <c r="Z12" s="80">
        <f t="shared" si="2"/>
        <v>316.8</v>
      </c>
      <c r="AA12" s="81">
        <v>774</v>
      </c>
      <c r="AB12" s="82">
        <v>44732</v>
      </c>
      <c r="AC12" s="147"/>
      <c r="AD12" s="1"/>
    </row>
    <row r="13" spans="1:30" x14ac:dyDescent="0.3">
      <c r="A13" s="1"/>
      <c r="B13" s="81" t="s">
        <v>450</v>
      </c>
      <c r="C13" s="83" t="s">
        <v>444</v>
      </c>
      <c r="D13" s="84"/>
      <c r="E13" s="81"/>
      <c r="F13" s="80">
        <v>16.690000000000001</v>
      </c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>
        <f t="shared" si="0"/>
        <v>16.690000000000001</v>
      </c>
      <c r="Y13" s="80">
        <f t="shared" si="1"/>
        <v>3.3380000000000005</v>
      </c>
      <c r="Z13" s="80">
        <f t="shared" si="2"/>
        <v>20.028000000000002</v>
      </c>
      <c r="AA13" s="81">
        <v>775</v>
      </c>
      <c r="AB13" s="82">
        <v>44732</v>
      </c>
      <c r="AC13" s="147"/>
      <c r="AD13" s="1"/>
    </row>
    <row r="14" spans="1:30" s="59" customFormat="1" x14ac:dyDescent="0.3">
      <c r="A14" s="1" t="s">
        <v>445</v>
      </c>
      <c r="B14" s="81" t="s">
        <v>451</v>
      </c>
      <c r="C14" s="83" t="s">
        <v>444</v>
      </c>
      <c r="D14" s="84"/>
      <c r="E14" s="81"/>
      <c r="F14" s="80"/>
      <c r="G14" s="80"/>
      <c r="H14" s="80"/>
      <c r="I14" s="80"/>
      <c r="J14" s="80"/>
      <c r="K14" s="80"/>
      <c r="L14" s="80"/>
      <c r="M14" s="80">
        <v>772.61</v>
      </c>
      <c r="N14" s="80"/>
      <c r="O14" s="80"/>
      <c r="P14" s="80"/>
      <c r="Q14" s="80"/>
      <c r="R14" s="80"/>
      <c r="S14" s="80"/>
      <c r="T14" s="80"/>
      <c r="U14" s="80"/>
      <c r="V14" s="80"/>
      <c r="W14"/>
      <c r="X14" s="80">
        <f t="shared" si="0"/>
        <v>772.61</v>
      </c>
      <c r="Y14" s="80">
        <v>0</v>
      </c>
      <c r="Z14" s="80">
        <f t="shared" si="2"/>
        <v>772.61</v>
      </c>
      <c r="AA14" s="81">
        <v>776</v>
      </c>
      <c r="AB14" s="82">
        <v>44732</v>
      </c>
      <c r="AC14" s="147"/>
      <c r="AD14" s="1"/>
    </row>
    <row r="15" spans="1:30" s="58" customFormat="1" x14ac:dyDescent="0.3">
      <c r="A15" s="1" t="s">
        <v>525</v>
      </c>
      <c r="B15" s="1" t="s">
        <v>452</v>
      </c>
      <c r="C15" s="83" t="s">
        <v>444</v>
      </c>
      <c r="D15" s="5"/>
      <c r="E15" s="1" t="s">
        <v>9</v>
      </c>
      <c r="F15" s="43"/>
      <c r="G15" s="43"/>
      <c r="H15" s="43"/>
      <c r="I15" s="43"/>
      <c r="J15" s="43"/>
      <c r="K15" s="43"/>
      <c r="L15" s="43"/>
      <c r="M15" s="43"/>
      <c r="N15" s="43">
        <v>184</v>
      </c>
      <c r="O15" s="43"/>
      <c r="P15" s="43"/>
      <c r="Q15" s="43"/>
      <c r="R15" s="43"/>
      <c r="S15" s="43"/>
      <c r="T15" s="43"/>
      <c r="U15" s="43"/>
      <c r="V15" s="43"/>
      <c r="W15" s="43"/>
      <c r="X15" s="80">
        <f t="shared" si="0"/>
        <v>184</v>
      </c>
      <c r="Y15" s="80">
        <v>0</v>
      </c>
      <c r="Z15" s="80">
        <f t="shared" si="2"/>
        <v>184</v>
      </c>
      <c r="AA15" s="81">
        <v>777</v>
      </c>
      <c r="AB15" s="2">
        <v>44760</v>
      </c>
      <c r="AC15" s="147"/>
      <c r="AD15" s="1"/>
    </row>
    <row r="16" spans="1:30" s="58" customFormat="1" x14ac:dyDescent="0.3">
      <c r="A16" s="1"/>
      <c r="B16" s="1"/>
      <c r="C16" s="83" t="s">
        <v>453</v>
      </c>
      <c r="D16" s="5"/>
      <c r="E16" s="1" t="s">
        <v>9</v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>
        <v>42.96</v>
      </c>
      <c r="T16" s="43"/>
      <c r="U16" s="43"/>
      <c r="V16" s="43"/>
      <c r="W16" s="43"/>
      <c r="X16" s="80">
        <f t="shared" si="0"/>
        <v>42.96</v>
      </c>
      <c r="Y16" s="80">
        <f t="shared" si="1"/>
        <v>8.5920000000000005</v>
      </c>
      <c r="Z16" s="80">
        <f t="shared" si="2"/>
        <v>51.552</v>
      </c>
      <c r="AA16" s="1">
        <v>778</v>
      </c>
      <c r="AB16" s="2">
        <v>44760</v>
      </c>
      <c r="AC16" s="148"/>
      <c r="AD16" s="1"/>
    </row>
    <row r="17" spans="1:30" s="58" customFormat="1" x14ac:dyDescent="0.3">
      <c r="A17" s="1" t="s">
        <v>454</v>
      </c>
      <c r="B17" s="1" t="s">
        <v>459</v>
      </c>
      <c r="C17" s="83" t="s">
        <v>453</v>
      </c>
      <c r="D17" s="5"/>
      <c r="E17" s="1" t="s">
        <v>455</v>
      </c>
      <c r="F17" s="43">
        <v>1040.28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80">
        <f t="shared" si="0"/>
        <v>1040.28</v>
      </c>
      <c r="Y17" s="80">
        <v>0</v>
      </c>
      <c r="Z17" s="80">
        <f t="shared" si="2"/>
        <v>1040.28</v>
      </c>
      <c r="AA17" s="1">
        <v>779</v>
      </c>
      <c r="AB17" s="2">
        <v>44760</v>
      </c>
      <c r="AC17" s="147"/>
      <c r="AD17" s="1"/>
    </row>
    <row r="18" spans="1:30" s="58" customFormat="1" x14ac:dyDescent="0.3">
      <c r="A18" s="1" t="s">
        <v>456</v>
      </c>
      <c r="B18" s="1" t="s">
        <v>457</v>
      </c>
      <c r="C18" s="83" t="s">
        <v>453</v>
      </c>
      <c r="D18" s="5"/>
      <c r="E18" s="1" t="s">
        <v>353</v>
      </c>
      <c r="F18" s="43">
        <v>1560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/>
      <c r="X18" s="80">
        <f t="shared" si="0"/>
        <v>1560</v>
      </c>
      <c r="Y18" s="80">
        <f t="shared" si="1"/>
        <v>312</v>
      </c>
      <c r="Z18" s="80">
        <f t="shared" si="2"/>
        <v>1872</v>
      </c>
      <c r="AA18" s="1">
        <v>780</v>
      </c>
      <c r="AB18" s="2">
        <v>44760</v>
      </c>
      <c r="AC18" s="147"/>
      <c r="AD18" s="1"/>
    </row>
    <row r="19" spans="1:30" s="58" customFormat="1" x14ac:dyDescent="0.3">
      <c r="A19" s="1" t="s">
        <v>445</v>
      </c>
      <c r="B19" s="1" t="s">
        <v>461</v>
      </c>
      <c r="C19" s="3" t="s">
        <v>453</v>
      </c>
      <c r="D19" s="5"/>
      <c r="E19" s="1"/>
      <c r="F19" s="43"/>
      <c r="G19" s="43"/>
      <c r="H19" s="43"/>
      <c r="I19" s="43"/>
      <c r="J19" s="43"/>
      <c r="K19" s="43"/>
      <c r="L19" s="43"/>
      <c r="M19" s="43">
        <v>733.66</v>
      </c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80">
        <f t="shared" si="0"/>
        <v>733.66</v>
      </c>
      <c r="Y19" s="80">
        <v>0</v>
      </c>
      <c r="Z19" s="80">
        <f t="shared" si="2"/>
        <v>733.66</v>
      </c>
      <c r="AA19" s="1">
        <v>782</v>
      </c>
      <c r="AB19" s="2">
        <v>44760</v>
      </c>
      <c r="AC19" s="148"/>
      <c r="AD19" s="1"/>
    </row>
    <row r="20" spans="1:30" s="58" customFormat="1" x14ac:dyDescent="0.3">
      <c r="A20" s="1" t="s">
        <v>340</v>
      </c>
      <c r="B20" s="1" t="s">
        <v>458</v>
      </c>
      <c r="C20" s="3" t="s">
        <v>453</v>
      </c>
      <c r="D20" s="5"/>
      <c r="E20" s="1"/>
      <c r="F20" s="43">
        <v>18</v>
      </c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80">
        <f t="shared" si="0"/>
        <v>18</v>
      </c>
      <c r="Y20" s="80">
        <v>0</v>
      </c>
      <c r="Z20" s="80">
        <f t="shared" si="2"/>
        <v>18</v>
      </c>
      <c r="AA20" s="1">
        <v>784</v>
      </c>
      <c r="AB20" s="2">
        <v>44760</v>
      </c>
      <c r="AC20" s="148"/>
      <c r="AD20" s="1"/>
    </row>
    <row r="21" spans="1:30" x14ac:dyDescent="0.3">
      <c r="A21" s="1" t="s">
        <v>7</v>
      </c>
      <c r="B21" s="1" t="s">
        <v>462</v>
      </c>
      <c r="C21" s="3" t="s">
        <v>460</v>
      </c>
      <c r="D21" s="5"/>
      <c r="E21" s="1" t="s">
        <v>9</v>
      </c>
      <c r="F21" s="43"/>
      <c r="G21" s="43"/>
      <c r="H21" s="43"/>
      <c r="I21" s="43"/>
      <c r="J21" s="43"/>
      <c r="K21" s="43"/>
      <c r="L21" s="43"/>
      <c r="M21" s="43"/>
      <c r="N21" s="43">
        <v>173.2</v>
      </c>
      <c r="O21" s="43"/>
      <c r="P21" s="43"/>
      <c r="Q21" s="43"/>
      <c r="R21" s="43"/>
      <c r="S21" s="43"/>
      <c r="T21" s="43"/>
      <c r="U21" s="43"/>
      <c r="V21" s="43"/>
      <c r="W21" s="43"/>
      <c r="X21" s="80">
        <f t="shared" ref="X21" si="3">SUM(F21:W21)</f>
        <v>173.2</v>
      </c>
      <c r="Y21" s="80">
        <v>0</v>
      </c>
      <c r="Z21" s="80">
        <f t="shared" ref="Z21" si="4">X21+Y21</f>
        <v>173.2</v>
      </c>
      <c r="AA21" s="1"/>
      <c r="AB21" s="2"/>
      <c r="AC21" s="148"/>
      <c r="AD21" s="1"/>
    </row>
    <row r="22" spans="1:30" s="58" customFormat="1" x14ac:dyDescent="0.3">
      <c r="A22" s="1" t="s">
        <v>463</v>
      </c>
      <c r="B22" s="1" t="s">
        <v>464</v>
      </c>
      <c r="C22" s="3" t="s">
        <v>460</v>
      </c>
      <c r="D22" s="5"/>
      <c r="E22" s="1" t="s">
        <v>455</v>
      </c>
      <c r="F22" s="43">
        <v>280</v>
      </c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80">
        <f t="shared" si="0"/>
        <v>280</v>
      </c>
      <c r="Y22" s="80">
        <f t="shared" si="1"/>
        <v>56</v>
      </c>
      <c r="Z22" s="80">
        <f t="shared" si="2"/>
        <v>336</v>
      </c>
      <c r="AA22" s="1">
        <v>785</v>
      </c>
      <c r="AB22" s="2">
        <v>44760</v>
      </c>
      <c r="AC22" s="148"/>
      <c r="AD22" s="1"/>
    </row>
    <row r="23" spans="1:30" s="58" customFormat="1" x14ac:dyDescent="0.3">
      <c r="A23" s="1" t="s">
        <v>350</v>
      </c>
      <c r="B23" s="1" t="s">
        <v>465</v>
      </c>
      <c r="C23" s="3" t="s">
        <v>466</v>
      </c>
      <c r="D23" s="5"/>
      <c r="E23" s="1" t="s">
        <v>9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>
        <v>42.96</v>
      </c>
      <c r="T23" s="43"/>
      <c r="U23" s="43"/>
      <c r="V23" s="43"/>
      <c r="W23" s="43"/>
      <c r="X23" s="80">
        <f t="shared" si="0"/>
        <v>42.96</v>
      </c>
      <c r="Y23" s="80">
        <f t="shared" si="1"/>
        <v>8.5920000000000005</v>
      </c>
      <c r="Z23" s="80">
        <f t="shared" si="2"/>
        <v>51.552</v>
      </c>
      <c r="AA23" s="1">
        <v>787</v>
      </c>
      <c r="AB23" s="2">
        <v>44760</v>
      </c>
      <c r="AC23" s="148"/>
      <c r="AD23" s="1"/>
    </row>
    <row r="24" spans="1:30" s="58" customFormat="1" x14ac:dyDescent="0.3">
      <c r="A24" s="1" t="s">
        <v>350</v>
      </c>
      <c r="B24" s="1" t="s">
        <v>467</v>
      </c>
      <c r="C24" s="3" t="s">
        <v>460</v>
      </c>
      <c r="D24" s="5"/>
      <c r="E24" s="1" t="s">
        <v>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>
        <v>0</v>
      </c>
      <c r="T24" s="1"/>
      <c r="U24" s="87"/>
      <c r="V24" s="16"/>
      <c r="W24"/>
      <c r="X24" s="80">
        <v>0</v>
      </c>
      <c r="Y24" s="80">
        <v>0</v>
      </c>
      <c r="Z24" s="80">
        <v>0</v>
      </c>
      <c r="AA24" s="86">
        <v>788</v>
      </c>
      <c r="AB24" s="2">
        <v>44760</v>
      </c>
      <c r="AC24" s="35"/>
      <c r="AD24" s="1"/>
    </row>
    <row r="25" spans="1:30" s="157" customFormat="1" x14ac:dyDescent="0.3">
      <c r="A25" s="152" t="s">
        <v>468</v>
      </c>
      <c r="B25" s="153" t="s">
        <v>469</v>
      </c>
      <c r="C25" s="3" t="s">
        <v>460</v>
      </c>
      <c r="D25" s="154"/>
      <c r="E25" s="153"/>
      <c r="F25" s="80">
        <v>-195</v>
      </c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4"/>
      <c r="V25" s="44"/>
      <c r="W25" s="80"/>
      <c r="X25" s="80">
        <f t="shared" si="0"/>
        <v>-195</v>
      </c>
      <c r="Y25" s="80">
        <f t="shared" si="1"/>
        <v>-39</v>
      </c>
      <c r="Z25" s="80">
        <f t="shared" si="2"/>
        <v>-234</v>
      </c>
      <c r="AA25" s="153">
        <v>789</v>
      </c>
      <c r="AB25" s="155">
        <v>44760</v>
      </c>
      <c r="AC25" s="156"/>
      <c r="AD25" s="153"/>
    </row>
    <row r="26" spans="1:30" x14ac:dyDescent="0.3">
      <c r="A26" s="81" t="s">
        <v>445</v>
      </c>
      <c r="B26" s="1" t="s">
        <v>471</v>
      </c>
      <c r="C26" s="3" t="s">
        <v>460</v>
      </c>
      <c r="D26" s="5"/>
      <c r="E26" s="1" t="s">
        <v>380</v>
      </c>
      <c r="F26" s="43"/>
      <c r="G26" s="43"/>
      <c r="H26" s="43"/>
      <c r="I26" s="43"/>
      <c r="J26" s="43"/>
      <c r="K26" s="43"/>
      <c r="L26" s="43"/>
      <c r="M26" s="43">
        <v>850.01</v>
      </c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80">
        <f t="shared" si="0"/>
        <v>850.01</v>
      </c>
      <c r="Y26" s="80">
        <v>0</v>
      </c>
      <c r="Z26" s="80">
        <f t="shared" si="2"/>
        <v>850.01</v>
      </c>
      <c r="AA26" s="1">
        <v>790</v>
      </c>
      <c r="AB26" s="2">
        <v>44760</v>
      </c>
      <c r="AC26" s="158"/>
      <c r="AD26" s="1"/>
    </row>
    <row r="27" spans="1:30" s="58" customFormat="1" x14ac:dyDescent="0.3">
      <c r="A27" s="86" t="s">
        <v>472</v>
      </c>
      <c r="B27" s="1" t="s">
        <v>473</v>
      </c>
      <c r="C27" s="3" t="s">
        <v>460</v>
      </c>
      <c r="D27" s="5"/>
      <c r="E27" s="1" t="s">
        <v>380</v>
      </c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>
        <v>18</v>
      </c>
      <c r="V27" s="43"/>
      <c r="W27" s="43"/>
      <c r="X27" s="80">
        <f t="shared" si="0"/>
        <v>18</v>
      </c>
      <c r="Y27" s="80">
        <v>0</v>
      </c>
      <c r="Z27" s="80">
        <f t="shared" si="2"/>
        <v>18</v>
      </c>
      <c r="AA27" s="1">
        <v>791</v>
      </c>
      <c r="AB27" s="2">
        <v>44760</v>
      </c>
      <c r="AC27" s="149">
        <v>1</v>
      </c>
      <c r="AD27" s="1"/>
    </row>
    <row r="28" spans="1:30" s="58" customFormat="1" x14ac:dyDescent="0.3">
      <c r="A28" s="81" t="s">
        <v>474</v>
      </c>
      <c r="B28" s="1" t="s">
        <v>473</v>
      </c>
      <c r="C28" s="3" t="s">
        <v>460</v>
      </c>
      <c r="D28" s="5"/>
      <c r="E28" s="1" t="s">
        <v>380</v>
      </c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>
        <v>18</v>
      </c>
      <c r="V28" s="43"/>
      <c r="W28" s="43"/>
      <c r="X28" s="80">
        <f t="shared" si="0"/>
        <v>18</v>
      </c>
      <c r="Y28" s="80">
        <v>0</v>
      </c>
      <c r="Z28" s="80">
        <f t="shared" si="2"/>
        <v>18</v>
      </c>
      <c r="AA28" s="1">
        <v>792</v>
      </c>
      <c r="AB28" s="2">
        <v>44760</v>
      </c>
      <c r="AC28" s="149">
        <v>2</v>
      </c>
      <c r="AD28" s="1"/>
    </row>
    <row r="29" spans="1:30" s="58" customFormat="1" x14ac:dyDescent="0.3">
      <c r="A29" s="81" t="s">
        <v>425</v>
      </c>
      <c r="B29" s="1" t="s">
        <v>473</v>
      </c>
      <c r="C29" s="3" t="s">
        <v>460</v>
      </c>
      <c r="D29" s="5"/>
      <c r="E29" s="1" t="s">
        <v>380</v>
      </c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>
        <v>18</v>
      </c>
      <c r="V29" s="43"/>
      <c r="W29" s="43"/>
      <c r="X29" s="80">
        <f t="shared" si="0"/>
        <v>18</v>
      </c>
      <c r="Y29" s="80">
        <v>0</v>
      </c>
      <c r="Z29" s="80">
        <f t="shared" si="2"/>
        <v>18</v>
      </c>
      <c r="AA29" s="1">
        <v>793</v>
      </c>
      <c r="AB29" s="2">
        <v>44760</v>
      </c>
      <c r="AC29" s="149">
        <v>3</v>
      </c>
      <c r="AD29" s="1"/>
    </row>
    <row r="30" spans="1:30" s="58" customFormat="1" x14ac:dyDescent="0.3">
      <c r="A30" s="88" t="s">
        <v>475</v>
      </c>
      <c r="B30" s="1" t="s">
        <v>473</v>
      </c>
      <c r="C30" s="3" t="s">
        <v>460</v>
      </c>
      <c r="D30" s="5"/>
      <c r="E30" s="1" t="s">
        <v>380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 s="80">
        <v>18</v>
      </c>
      <c r="V30" s="89"/>
      <c r="W30"/>
      <c r="X30" s="80">
        <f t="shared" si="0"/>
        <v>18</v>
      </c>
      <c r="Y30" s="80">
        <v>0</v>
      </c>
      <c r="Z30" s="80">
        <f t="shared" si="2"/>
        <v>18</v>
      </c>
      <c r="AA30" s="81">
        <v>794</v>
      </c>
      <c r="AB30" s="2">
        <v>44760</v>
      </c>
      <c r="AC30" s="149">
        <v>4</v>
      </c>
      <c r="AD30" s="1"/>
    </row>
    <row r="31" spans="1:30" s="58" customFormat="1" x14ac:dyDescent="0.3">
      <c r="A31" s="1" t="s">
        <v>445</v>
      </c>
      <c r="B31" s="1" t="s">
        <v>476</v>
      </c>
      <c r="C31" s="3" t="s">
        <v>470</v>
      </c>
      <c r="D31" s="5"/>
      <c r="E31" s="1" t="s">
        <v>380</v>
      </c>
      <c r="F31" s="80"/>
      <c r="G31" s="80"/>
      <c r="H31" s="80"/>
      <c r="I31" s="80"/>
      <c r="J31" s="80"/>
      <c r="K31" s="80"/>
      <c r="L31" s="80"/>
      <c r="M31" s="80">
        <v>700</v>
      </c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>
        <f t="shared" si="0"/>
        <v>700</v>
      </c>
      <c r="Y31" s="80">
        <v>0</v>
      </c>
      <c r="Z31" s="80">
        <f t="shared" si="2"/>
        <v>700</v>
      </c>
      <c r="AA31" s="81">
        <v>795</v>
      </c>
      <c r="AB31" s="2">
        <v>44816</v>
      </c>
      <c r="AC31" s="149">
        <v>5</v>
      </c>
      <c r="AD31" s="1"/>
    </row>
    <row r="32" spans="1:30" s="58" customFormat="1" x14ac:dyDescent="0.3">
      <c r="A32" s="1" t="s">
        <v>477</v>
      </c>
      <c r="B32" s="1" t="s">
        <v>473</v>
      </c>
      <c r="C32" s="3" t="s">
        <v>470</v>
      </c>
      <c r="D32" s="5"/>
      <c r="E32" s="1" t="s">
        <v>380</v>
      </c>
      <c r="F32" s="1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>
        <v>18</v>
      </c>
      <c r="V32" s="80"/>
      <c r="W32" s="80"/>
      <c r="X32" s="80">
        <f>SUM(F32:W32)</f>
        <v>18</v>
      </c>
      <c r="Y32" s="80">
        <v>0</v>
      </c>
      <c r="Z32" s="80">
        <f t="shared" si="2"/>
        <v>18</v>
      </c>
      <c r="AA32" s="81">
        <v>798</v>
      </c>
      <c r="AB32" s="2">
        <v>44816</v>
      </c>
      <c r="AC32" s="149">
        <v>6</v>
      </c>
      <c r="AD32" s="1"/>
    </row>
    <row r="33" spans="1:30" s="58" customFormat="1" x14ac:dyDescent="0.3">
      <c r="A33" s="1" t="s">
        <v>507</v>
      </c>
      <c r="B33" s="1" t="s">
        <v>473</v>
      </c>
      <c r="C33" s="3" t="s">
        <v>470</v>
      </c>
      <c r="D33" s="5"/>
      <c r="E33" s="1"/>
      <c r="F33" s="1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>
        <v>18</v>
      </c>
      <c r="V33" s="80"/>
      <c r="W33" s="80"/>
      <c r="X33" s="80">
        <f>SUM(F33:W33)</f>
        <v>18</v>
      </c>
      <c r="Y33" s="80">
        <v>0</v>
      </c>
      <c r="Z33" s="80">
        <f t="shared" si="2"/>
        <v>18</v>
      </c>
      <c r="AA33" s="81"/>
      <c r="AB33" s="2"/>
      <c r="AC33" s="149"/>
      <c r="AD33" s="1"/>
    </row>
    <row r="34" spans="1:30" s="58" customFormat="1" x14ac:dyDescent="0.3">
      <c r="A34" s="81" t="s">
        <v>480</v>
      </c>
      <c r="B34" s="81" t="s">
        <v>482</v>
      </c>
      <c r="C34" s="3" t="s">
        <v>481</v>
      </c>
      <c r="D34" s="84"/>
      <c r="E34" s="81" t="s">
        <v>349</v>
      </c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>
        <v>350</v>
      </c>
      <c r="S34" s="80"/>
      <c r="T34" s="80"/>
      <c r="U34" s="80"/>
      <c r="V34" s="80"/>
      <c r="W34" s="80"/>
      <c r="X34" s="80">
        <f t="shared" si="0"/>
        <v>350</v>
      </c>
      <c r="Y34" s="80">
        <v>0</v>
      </c>
      <c r="Z34" s="80">
        <f t="shared" si="2"/>
        <v>350</v>
      </c>
      <c r="AA34" s="81">
        <v>800</v>
      </c>
      <c r="AB34" s="2">
        <v>44816</v>
      </c>
      <c r="AC34" s="148"/>
      <c r="AD34" s="1"/>
    </row>
    <row r="35" spans="1:30" s="58" customFormat="1" x14ac:dyDescent="0.3">
      <c r="A35" s="1" t="s">
        <v>483</v>
      </c>
      <c r="B35" s="1" t="s">
        <v>484</v>
      </c>
      <c r="C35" s="3" t="s">
        <v>481</v>
      </c>
      <c r="D35" s="84"/>
      <c r="E35" s="81" t="s">
        <v>486</v>
      </c>
      <c r="F35" s="80">
        <v>75</v>
      </c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/>
      <c r="X35" s="80">
        <f t="shared" si="0"/>
        <v>75</v>
      </c>
      <c r="Y35" s="80">
        <f t="shared" si="1"/>
        <v>15</v>
      </c>
      <c r="Z35" s="80">
        <f t="shared" si="2"/>
        <v>90</v>
      </c>
      <c r="AA35" s="81">
        <v>801</v>
      </c>
      <c r="AB35" s="2">
        <v>44816</v>
      </c>
      <c r="AC35" s="148"/>
      <c r="AD35" s="1"/>
    </row>
    <row r="36" spans="1:30" s="58" customFormat="1" x14ac:dyDescent="0.3">
      <c r="A36" s="81" t="s">
        <v>350</v>
      </c>
      <c r="B36" s="81" t="s">
        <v>485</v>
      </c>
      <c r="C36" s="3" t="s">
        <v>481</v>
      </c>
      <c r="D36" s="84"/>
      <c r="E36" s="81" t="s">
        <v>9</v>
      </c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>
        <v>64.44</v>
      </c>
      <c r="T36" s="80"/>
      <c r="U36" s="80"/>
      <c r="V36" s="80"/>
      <c r="W36" s="80"/>
      <c r="X36" s="80">
        <f t="shared" si="0"/>
        <v>64.44</v>
      </c>
      <c r="Y36" s="80">
        <f t="shared" si="1"/>
        <v>12.888</v>
      </c>
      <c r="Z36" s="80">
        <f t="shared" si="2"/>
        <v>77.328000000000003</v>
      </c>
      <c r="AA36" s="81">
        <v>802</v>
      </c>
      <c r="AB36" s="2">
        <v>44832</v>
      </c>
      <c r="AC36" s="148"/>
      <c r="AD36" s="1"/>
    </row>
    <row r="37" spans="1:30" s="58" customFormat="1" x14ac:dyDescent="0.3">
      <c r="A37" s="81" t="s">
        <v>7</v>
      </c>
      <c r="B37" s="83" t="s">
        <v>497</v>
      </c>
      <c r="C37" s="3" t="s">
        <v>481</v>
      </c>
      <c r="D37" s="84"/>
      <c r="E37" s="81" t="s">
        <v>9</v>
      </c>
      <c r="F37" s="80"/>
      <c r="G37" s="80"/>
      <c r="H37" s="80"/>
      <c r="I37" s="80"/>
      <c r="J37" s="80"/>
      <c r="K37" s="80"/>
      <c r="L37" s="80"/>
      <c r="M37" s="80"/>
      <c r="N37" s="80">
        <v>163.6</v>
      </c>
      <c r="O37" s="80"/>
      <c r="P37" s="80"/>
      <c r="Q37" s="80"/>
      <c r="R37" s="80"/>
      <c r="S37" s="80"/>
      <c r="T37" s="80"/>
      <c r="U37" s="80"/>
      <c r="V37" s="80"/>
      <c r="W37" s="80"/>
      <c r="X37" s="80">
        <f t="shared" si="0"/>
        <v>163.6</v>
      </c>
      <c r="Y37" s="80">
        <v>0</v>
      </c>
      <c r="Z37" s="80">
        <f t="shared" si="2"/>
        <v>163.6</v>
      </c>
      <c r="AA37" s="81">
        <v>803</v>
      </c>
      <c r="AB37" s="82">
        <v>44833</v>
      </c>
      <c r="AC37" s="147"/>
      <c r="AD37" s="1"/>
    </row>
    <row r="38" spans="1:30" s="58" customFormat="1" x14ac:dyDescent="0.3">
      <c r="A38" s="81" t="s">
        <v>487</v>
      </c>
      <c r="B38" s="83" t="s">
        <v>488</v>
      </c>
      <c r="C38" s="3" t="s">
        <v>481</v>
      </c>
      <c r="D38" s="84"/>
      <c r="E38" s="81" t="s">
        <v>9</v>
      </c>
      <c r="F38" s="80"/>
      <c r="G38" s="80"/>
      <c r="H38" s="80"/>
      <c r="I38" s="80"/>
      <c r="J38" s="80">
        <v>188.07</v>
      </c>
      <c r="K38" s="80">
        <v>47.67</v>
      </c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>
        <f t="shared" ref="X38:X44" si="5">SUM(F38:W38)</f>
        <v>235.74</v>
      </c>
      <c r="Y38" s="80">
        <v>0</v>
      </c>
      <c r="Z38" s="80">
        <f t="shared" ref="Z38:Z44" si="6">X38+Y38</f>
        <v>235.74</v>
      </c>
      <c r="AA38" s="81"/>
      <c r="AB38" s="82"/>
      <c r="AC38" s="147"/>
      <c r="AD38" s="1"/>
    </row>
    <row r="39" spans="1:30" s="58" customFormat="1" x14ac:dyDescent="0.3">
      <c r="A39" s="81" t="s">
        <v>487</v>
      </c>
      <c r="B39" s="83" t="s">
        <v>493</v>
      </c>
      <c r="C39" s="3" t="s">
        <v>481</v>
      </c>
      <c r="D39" s="84"/>
      <c r="E39" s="81" t="s">
        <v>9</v>
      </c>
      <c r="F39" s="80"/>
      <c r="G39" s="80"/>
      <c r="H39" s="80"/>
      <c r="I39" s="80"/>
      <c r="J39" s="80">
        <v>188.07</v>
      </c>
      <c r="K39" s="80">
        <v>47.67</v>
      </c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>
        <f t="shared" si="5"/>
        <v>235.74</v>
      </c>
      <c r="Y39" s="80">
        <v>0</v>
      </c>
      <c r="Z39" s="80">
        <f t="shared" si="6"/>
        <v>235.74</v>
      </c>
      <c r="AA39" s="81"/>
      <c r="AB39" s="82"/>
      <c r="AC39" s="147"/>
      <c r="AD39" s="1"/>
    </row>
    <row r="40" spans="1:30" s="58" customFormat="1" x14ac:dyDescent="0.3">
      <c r="A40" s="81" t="s">
        <v>494</v>
      </c>
      <c r="B40" s="83" t="s">
        <v>495</v>
      </c>
      <c r="C40" s="3" t="s">
        <v>481</v>
      </c>
      <c r="D40" s="84"/>
      <c r="E40" s="81" t="s">
        <v>349</v>
      </c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>
        <v>100</v>
      </c>
      <c r="R40" s="80"/>
      <c r="S40" s="80"/>
      <c r="T40" s="80"/>
      <c r="U40" s="80"/>
      <c r="V40" s="80"/>
      <c r="W40" s="80"/>
      <c r="X40" s="80">
        <f t="shared" si="5"/>
        <v>100</v>
      </c>
      <c r="Y40" s="80">
        <f t="shared" ref="Y40:Y44" si="7">X40*0.2</f>
        <v>20</v>
      </c>
      <c r="Z40" s="80">
        <f t="shared" si="6"/>
        <v>120</v>
      </c>
      <c r="AA40" s="81"/>
      <c r="AB40" s="82"/>
      <c r="AC40" s="147"/>
      <c r="AD40" s="1"/>
    </row>
    <row r="41" spans="1:30" s="58" customFormat="1" x14ac:dyDescent="0.3">
      <c r="A41" s="81" t="s">
        <v>445</v>
      </c>
      <c r="B41" s="83" t="s">
        <v>496</v>
      </c>
      <c r="C41" s="3" t="s">
        <v>481</v>
      </c>
      <c r="D41" s="84"/>
      <c r="E41" s="81" t="s">
        <v>9</v>
      </c>
      <c r="F41" s="80"/>
      <c r="G41" s="80"/>
      <c r="H41" s="80"/>
      <c r="I41" s="80"/>
      <c r="J41" s="80"/>
      <c r="K41" s="80"/>
      <c r="L41" s="80"/>
      <c r="M41" s="80">
        <v>686.08</v>
      </c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>
        <f t="shared" si="5"/>
        <v>686.08</v>
      </c>
      <c r="Y41" s="80">
        <v>0</v>
      </c>
      <c r="Z41" s="80">
        <f t="shared" si="6"/>
        <v>686.08</v>
      </c>
      <c r="AA41" s="81"/>
      <c r="AB41" s="82"/>
      <c r="AC41" s="147"/>
      <c r="AD41" s="1"/>
    </row>
    <row r="42" spans="1:30" s="58" customFormat="1" x14ac:dyDescent="0.3">
      <c r="A42" s="81" t="s">
        <v>354</v>
      </c>
      <c r="B42" s="83" t="s">
        <v>498</v>
      </c>
      <c r="C42" s="3" t="s">
        <v>481</v>
      </c>
      <c r="D42" s="84"/>
      <c r="E42" s="81" t="s">
        <v>9</v>
      </c>
      <c r="F42" s="80"/>
      <c r="G42" s="80"/>
      <c r="H42" s="80"/>
      <c r="I42" s="80"/>
      <c r="J42" s="80"/>
      <c r="K42" s="80"/>
      <c r="L42" s="80"/>
      <c r="M42" s="80"/>
      <c r="N42" s="80">
        <v>163.6</v>
      </c>
      <c r="O42" s="80"/>
      <c r="P42" s="80"/>
      <c r="Q42" s="80"/>
      <c r="R42" s="80"/>
      <c r="S42" s="80"/>
      <c r="T42" s="80"/>
      <c r="U42" s="80"/>
      <c r="V42" s="80"/>
      <c r="W42" s="80"/>
      <c r="X42" s="80">
        <f t="shared" si="5"/>
        <v>163.6</v>
      </c>
      <c r="Y42" s="80">
        <v>0</v>
      </c>
      <c r="Z42" s="80">
        <f t="shared" si="6"/>
        <v>163.6</v>
      </c>
      <c r="AA42" s="81"/>
      <c r="AB42" s="82"/>
      <c r="AC42" s="147"/>
      <c r="AD42" s="1"/>
    </row>
    <row r="43" spans="1:30" s="58" customFormat="1" x14ac:dyDescent="0.3">
      <c r="A43" s="81" t="s">
        <v>340</v>
      </c>
      <c r="B43" s="83" t="s">
        <v>499</v>
      </c>
      <c r="C43" s="3" t="s">
        <v>481</v>
      </c>
      <c r="D43" s="84"/>
      <c r="E43" s="81"/>
      <c r="F43" s="80">
        <v>18</v>
      </c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>
        <f t="shared" si="5"/>
        <v>18</v>
      </c>
      <c r="Y43" s="80">
        <v>0</v>
      </c>
      <c r="Z43" s="80">
        <f t="shared" si="6"/>
        <v>18</v>
      </c>
      <c r="AA43" s="81"/>
      <c r="AB43" s="82"/>
      <c r="AC43" s="147"/>
      <c r="AD43" s="1"/>
    </row>
    <row r="44" spans="1:30" s="58" customFormat="1" x14ac:dyDescent="0.3">
      <c r="A44" s="81"/>
      <c r="B44" s="83"/>
      <c r="C44" s="3"/>
      <c r="D44" s="84"/>
      <c r="E44" s="81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>
        <f t="shared" si="5"/>
        <v>0</v>
      </c>
      <c r="Y44" s="80">
        <f t="shared" si="7"/>
        <v>0</v>
      </c>
      <c r="Z44" s="80">
        <f t="shared" si="6"/>
        <v>0</v>
      </c>
      <c r="AA44" s="81"/>
      <c r="AB44" s="82"/>
      <c r="AC44" s="147"/>
      <c r="AD44" s="1"/>
    </row>
    <row r="45" spans="1:30" x14ac:dyDescent="0.3">
      <c r="A45" s="1"/>
      <c r="B45" s="1"/>
      <c r="C45" s="3"/>
      <c r="D45" s="5"/>
      <c r="E45" s="1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80">
        <f t="shared" si="0"/>
        <v>0</v>
      </c>
      <c r="Y45" s="80">
        <f t="shared" si="1"/>
        <v>0</v>
      </c>
      <c r="Z45" s="80">
        <f t="shared" si="2"/>
        <v>0</v>
      </c>
      <c r="AA45" s="1">
        <v>804</v>
      </c>
      <c r="AB45" s="2">
        <v>44858</v>
      </c>
      <c r="AC45" s="147"/>
      <c r="AD45" s="1"/>
    </row>
    <row r="46" spans="1:30" x14ac:dyDescent="0.3">
      <c r="A46" s="1"/>
      <c r="B46" s="1"/>
      <c r="C46" s="3"/>
      <c r="D46" s="5"/>
      <c r="E46" s="1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80">
        <f t="shared" si="0"/>
        <v>0</v>
      </c>
      <c r="Y46" s="80">
        <f t="shared" si="1"/>
        <v>0</v>
      </c>
      <c r="Z46" s="80">
        <f t="shared" si="2"/>
        <v>0</v>
      </c>
      <c r="AA46" s="1">
        <v>805</v>
      </c>
      <c r="AB46" s="2">
        <v>44858</v>
      </c>
      <c r="AC46" s="147"/>
      <c r="AD46" s="1"/>
    </row>
    <row r="47" spans="1:30" hidden="1" x14ac:dyDescent="0.3">
      <c r="A47" s="1"/>
      <c r="B47" s="1"/>
      <c r="C47" s="3"/>
      <c r="D47" s="84"/>
      <c r="E47" s="81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>
        <f t="shared" si="0"/>
        <v>0</v>
      </c>
      <c r="Y47" s="80">
        <f t="shared" si="1"/>
        <v>0</v>
      </c>
      <c r="Z47" s="80"/>
      <c r="AA47" s="81"/>
      <c r="AB47" s="2"/>
      <c r="AC47" s="148"/>
      <c r="AD47" s="1"/>
    </row>
    <row r="48" spans="1:30" x14ac:dyDescent="0.3">
      <c r="A48" s="1"/>
      <c r="B48" s="1"/>
      <c r="C48" s="3"/>
      <c r="D48" s="5"/>
      <c r="E48" s="1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80">
        <f t="shared" si="0"/>
        <v>0</v>
      </c>
      <c r="Y48" s="80">
        <f t="shared" si="1"/>
        <v>0</v>
      </c>
      <c r="Z48" s="80">
        <f t="shared" si="2"/>
        <v>0</v>
      </c>
      <c r="AA48" s="1">
        <v>807</v>
      </c>
      <c r="AB48" s="2">
        <v>44858</v>
      </c>
      <c r="AC48" s="147"/>
      <c r="AD48" s="1"/>
    </row>
    <row r="49" spans="1:30" s="58" customFormat="1" x14ac:dyDescent="0.3">
      <c r="A49" s="46"/>
      <c r="B49" s="46"/>
      <c r="C49" s="220"/>
      <c r="D49" s="221"/>
      <c r="E49" s="46"/>
      <c r="F49" s="60">
        <f>SUM(F3:F48)</f>
        <v>3076.9700000000003</v>
      </c>
      <c r="G49" s="60"/>
      <c r="H49" s="60"/>
      <c r="I49" s="60">
        <f>SUM(I3:I48)</f>
        <v>123.88</v>
      </c>
      <c r="J49" s="60">
        <f>SUM(J3:J48)</f>
        <v>376.14</v>
      </c>
      <c r="K49" s="60">
        <f>SUM(K3:K48)</f>
        <v>95.34</v>
      </c>
      <c r="L49" s="60">
        <f>SUM(L3:L22)</f>
        <v>25</v>
      </c>
      <c r="M49" s="60">
        <f>SUM(M3:M48)</f>
        <v>4541.38</v>
      </c>
      <c r="N49" s="60">
        <f>SUM(N3:N48)</f>
        <v>876.40000000000009</v>
      </c>
      <c r="O49" s="60">
        <f>SUM(O3:O22)</f>
        <v>0</v>
      </c>
      <c r="P49" s="60">
        <f>SUM(P3:P22)</f>
        <v>0</v>
      </c>
      <c r="Q49" s="60">
        <f>SUM(Q3:Q48)</f>
        <v>100</v>
      </c>
      <c r="R49" s="60">
        <f>SUM(R3:R48)</f>
        <v>350</v>
      </c>
      <c r="S49" s="60">
        <f>SUM(S3:S48)</f>
        <v>370.16999999999996</v>
      </c>
      <c r="T49" s="60">
        <f>SUM(T3:T22)</f>
        <v>0</v>
      </c>
      <c r="U49" s="60">
        <f>SUM(U2:U48)</f>
        <v>108</v>
      </c>
      <c r="V49" s="60">
        <f>SUM(V3:V22)</f>
        <v>0</v>
      </c>
      <c r="W49" s="60">
        <f>SUM(W3:W22)</f>
        <v>0</v>
      </c>
      <c r="X49" s="222">
        <f>SUM(F49:W49)</f>
        <v>10043.280000000001</v>
      </c>
      <c r="Y49" s="222">
        <f>SUM(Y3:Y22)</f>
        <v>489.49</v>
      </c>
      <c r="Z49" s="222">
        <f>SUM(Z3:Z22)</f>
        <v>6934.5999999999995</v>
      </c>
      <c r="AA49" s="1">
        <v>786</v>
      </c>
      <c r="AB49" s="2">
        <v>44760</v>
      </c>
      <c r="AC49" s="148"/>
      <c r="AD49" s="1"/>
    </row>
    <row r="50" spans="1:30" x14ac:dyDescent="0.3">
      <c r="A50" s="1"/>
      <c r="B50" s="1"/>
      <c r="C50" s="3"/>
      <c r="D50" s="5"/>
      <c r="E50" s="1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80"/>
      <c r="Y50" s="80"/>
      <c r="Z50" s="80">
        <f t="shared" si="2"/>
        <v>0</v>
      </c>
      <c r="AA50" s="1">
        <v>809</v>
      </c>
      <c r="AB50" s="2">
        <v>44858</v>
      </c>
      <c r="AC50" s="147"/>
      <c r="AD50" s="1"/>
    </row>
    <row r="51" spans="1:30" x14ac:dyDescent="0.3">
      <c r="A51" s="1"/>
      <c r="B51" s="1"/>
      <c r="C51" s="3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X51" s="80"/>
      <c r="Y51" s="80"/>
      <c r="Z51" s="80">
        <f t="shared" si="2"/>
        <v>0</v>
      </c>
      <c r="AA51" s="1"/>
      <c r="AB51" s="1"/>
      <c r="AC51" s="149"/>
      <c r="AD51" s="1"/>
    </row>
    <row r="52" spans="1:30" x14ac:dyDescent="0.3">
      <c r="A52" s="1"/>
      <c r="B52" s="1"/>
      <c r="C52" s="3"/>
      <c r="D52" s="6"/>
      <c r="E52" s="1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X52" s="80"/>
      <c r="Y52" s="80"/>
      <c r="Z52" s="80">
        <f t="shared" si="2"/>
        <v>0</v>
      </c>
      <c r="AA52" s="1">
        <v>810</v>
      </c>
      <c r="AB52" s="2">
        <v>44886</v>
      </c>
      <c r="AC52" s="147"/>
      <c r="AD52" s="1"/>
    </row>
    <row r="53" spans="1:30" x14ac:dyDescent="0.3">
      <c r="A53" s="1"/>
      <c r="B53" s="1"/>
      <c r="C53" s="3"/>
      <c r="D53" s="5"/>
      <c r="E53" s="1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80"/>
      <c r="Y53" s="43"/>
      <c r="Z53" s="80">
        <f t="shared" si="2"/>
        <v>0</v>
      </c>
      <c r="AA53" s="1">
        <v>811</v>
      </c>
      <c r="AB53" s="2">
        <v>44886</v>
      </c>
      <c r="AC53" s="147"/>
      <c r="AD53" s="1"/>
    </row>
    <row r="54" spans="1:30" x14ac:dyDescent="0.3">
      <c r="A54" s="1"/>
      <c r="B54" s="1"/>
      <c r="C54" s="3"/>
      <c r="D54" s="5"/>
      <c r="E54" s="1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80"/>
      <c r="Y54" s="43"/>
      <c r="Z54" s="80">
        <f t="shared" si="2"/>
        <v>0</v>
      </c>
      <c r="AA54" s="1">
        <v>812</v>
      </c>
      <c r="AB54" s="2">
        <v>44886</v>
      </c>
      <c r="AC54" s="148"/>
    </row>
    <row r="55" spans="1:30" x14ac:dyDescent="0.3">
      <c r="A55" s="1"/>
      <c r="B55" s="1"/>
      <c r="C55" s="3"/>
      <c r="D55" s="5"/>
      <c r="E55" s="1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80"/>
      <c r="Y55" s="43"/>
      <c r="Z55" s="80">
        <f t="shared" si="2"/>
        <v>0</v>
      </c>
      <c r="AA55" s="1"/>
      <c r="AB55" s="2"/>
      <c r="AC55" s="148"/>
    </row>
    <row r="56" spans="1:30" x14ac:dyDescent="0.3">
      <c r="A56" s="1"/>
      <c r="B56" s="1"/>
      <c r="C56" s="3"/>
      <c r="D56" s="5"/>
      <c r="E56" s="1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80"/>
      <c r="Y56" s="43"/>
      <c r="Z56" s="80">
        <f t="shared" si="2"/>
        <v>0</v>
      </c>
      <c r="AA56" s="1"/>
      <c r="AB56" s="2"/>
      <c r="AC56" s="148"/>
    </row>
    <row r="57" spans="1:30" x14ac:dyDescent="0.3">
      <c r="A57" s="1"/>
      <c r="B57" s="1"/>
      <c r="C57" s="3"/>
      <c r="D57" s="5"/>
      <c r="E57" s="1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80"/>
      <c r="Y57" s="43"/>
      <c r="Z57" s="80">
        <f t="shared" si="2"/>
        <v>0</v>
      </c>
      <c r="AA57" s="1"/>
      <c r="AB57" s="2"/>
      <c r="AC57" s="148"/>
    </row>
    <row r="58" spans="1:30" x14ac:dyDescent="0.3">
      <c r="A58" s="1"/>
      <c r="B58" s="1"/>
      <c r="C58" s="3"/>
      <c r="D58" s="5"/>
      <c r="E58" s="1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80"/>
      <c r="Y58" s="43"/>
      <c r="Z58" s="80">
        <f t="shared" si="2"/>
        <v>0</v>
      </c>
      <c r="AA58" s="1"/>
      <c r="AB58" s="2"/>
      <c r="AC58" s="148"/>
    </row>
    <row r="59" spans="1:30" x14ac:dyDescent="0.3">
      <c r="A59" s="2"/>
      <c r="B59" s="1"/>
      <c r="C59" s="3"/>
      <c r="D59" s="5"/>
      <c r="E59" s="1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80"/>
      <c r="Y59" s="43"/>
      <c r="Z59" s="80">
        <f t="shared" si="2"/>
        <v>0</v>
      </c>
      <c r="AA59" s="1"/>
      <c r="AB59" s="2"/>
      <c r="AC59" s="148"/>
    </row>
    <row r="60" spans="1:30" x14ac:dyDescent="0.3">
      <c r="A60" s="1"/>
      <c r="B60" s="1"/>
      <c r="C60" s="3"/>
      <c r="D60" s="5"/>
      <c r="E60" s="1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80"/>
      <c r="Y60" s="43"/>
      <c r="Z60" s="80">
        <f t="shared" si="2"/>
        <v>0</v>
      </c>
      <c r="AA60" s="1"/>
      <c r="AB60" s="2"/>
      <c r="AC60" s="148"/>
    </row>
    <row r="61" spans="1:30" x14ac:dyDescent="0.3">
      <c r="A61" s="1"/>
      <c r="B61" s="1"/>
      <c r="C61" s="3"/>
      <c r="D61" s="5"/>
      <c r="E61" s="1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80"/>
      <c r="Y61" s="43"/>
      <c r="Z61" s="80">
        <f t="shared" si="2"/>
        <v>0</v>
      </c>
      <c r="AA61" s="1"/>
      <c r="AB61" s="2"/>
      <c r="AC61" s="148"/>
    </row>
    <row r="62" spans="1:30" x14ac:dyDescent="0.3">
      <c r="A62" s="1"/>
      <c r="B62" s="1"/>
      <c r="C62" s="3"/>
      <c r="D62" s="5"/>
      <c r="E62" s="1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80"/>
      <c r="Y62" s="43"/>
      <c r="Z62" s="80">
        <f t="shared" si="2"/>
        <v>0</v>
      </c>
      <c r="AA62" s="1"/>
      <c r="AB62" s="2"/>
      <c r="AC62" s="148"/>
    </row>
    <row r="63" spans="1:30" x14ac:dyDescent="0.3">
      <c r="A63" s="1"/>
      <c r="B63" s="1"/>
      <c r="C63" s="3"/>
      <c r="D63" s="5"/>
      <c r="E63" s="1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80"/>
      <c r="Y63" s="43"/>
      <c r="Z63" s="80">
        <f t="shared" si="2"/>
        <v>0</v>
      </c>
      <c r="AA63" s="1"/>
      <c r="AB63" s="2"/>
      <c r="AC63" s="148"/>
    </row>
    <row r="64" spans="1:30" x14ac:dyDescent="0.3">
      <c r="B64" s="1"/>
      <c r="C64" s="3"/>
      <c r="D64" s="5"/>
      <c r="E64" s="1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80"/>
      <c r="Y64" s="43"/>
      <c r="Z64" s="80">
        <f t="shared" si="2"/>
        <v>0</v>
      </c>
      <c r="AA64" s="1"/>
      <c r="AB64" s="2"/>
      <c r="AC64" s="148"/>
    </row>
    <row r="65" spans="1:29" x14ac:dyDescent="0.3">
      <c r="B65" s="1"/>
      <c r="C65" s="3"/>
      <c r="D65" s="5"/>
      <c r="E65" s="1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80"/>
      <c r="Y65" s="43"/>
      <c r="Z65" s="80">
        <f t="shared" si="2"/>
        <v>0</v>
      </c>
      <c r="AA65" s="1"/>
      <c r="AB65" s="2"/>
      <c r="AC65" s="148"/>
    </row>
    <row r="66" spans="1:29" x14ac:dyDescent="0.3">
      <c r="A66" s="1"/>
      <c r="B66" s="1"/>
      <c r="C66" s="3"/>
      <c r="D66" s="5"/>
      <c r="E66" s="1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80"/>
      <c r="Y66" s="43"/>
      <c r="Z66" s="80">
        <f>X66+Y66</f>
        <v>0</v>
      </c>
      <c r="AA66" s="1"/>
      <c r="AB66" s="2"/>
      <c r="AC66" s="148"/>
    </row>
    <row r="67" spans="1:29" x14ac:dyDescent="0.3">
      <c r="A67" s="1"/>
      <c r="B67" s="1"/>
      <c r="C67" s="3"/>
      <c r="D67" s="5"/>
      <c r="E67" s="1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80"/>
      <c r="Y67" s="43"/>
      <c r="Z67" s="80">
        <f t="shared" si="2"/>
        <v>0</v>
      </c>
      <c r="AA67" s="1"/>
      <c r="AB67" s="2"/>
      <c r="AC67" s="148"/>
    </row>
    <row r="68" spans="1:29" x14ac:dyDescent="0.3">
      <c r="A68" s="1"/>
      <c r="B68" s="1"/>
      <c r="C68" s="3"/>
      <c r="D68" s="5"/>
      <c r="E68" s="1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80"/>
      <c r="Y68" s="43"/>
      <c r="Z68" s="80">
        <f t="shared" si="2"/>
        <v>0</v>
      </c>
      <c r="AA68" s="1"/>
      <c r="AB68" s="2"/>
      <c r="AC68" s="148"/>
    </row>
    <row r="69" spans="1:29" x14ac:dyDescent="0.3">
      <c r="A69" s="1"/>
      <c r="B69" s="1"/>
      <c r="C69" s="3"/>
      <c r="D69" s="5"/>
      <c r="E69" s="1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80"/>
      <c r="Y69" s="43"/>
      <c r="Z69" s="80">
        <f>X69+Y69</f>
        <v>0</v>
      </c>
      <c r="AA69" s="1"/>
      <c r="AB69" s="2"/>
      <c r="AC69" s="148"/>
    </row>
    <row r="70" spans="1:29" x14ac:dyDescent="0.3">
      <c r="A70" s="1"/>
      <c r="B70" s="3"/>
      <c r="C70" s="3"/>
      <c r="D70" s="5"/>
      <c r="E70" s="1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X70" s="80"/>
      <c r="Y70" s="43"/>
      <c r="Z70" s="80">
        <f>X70+Y70</f>
        <v>0</v>
      </c>
      <c r="AA70" s="1"/>
      <c r="AB70" s="2"/>
      <c r="AC70" s="148"/>
    </row>
    <row r="71" spans="1:29" x14ac:dyDescent="0.3">
      <c r="A71" s="1"/>
      <c r="B71" s="1"/>
      <c r="C71" s="3"/>
      <c r="D71" s="5"/>
      <c r="E71" s="1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80"/>
      <c r="Y71" s="43"/>
      <c r="Z71" s="80">
        <f t="shared" si="2"/>
        <v>0</v>
      </c>
      <c r="AA71" s="1"/>
      <c r="AB71" s="2"/>
      <c r="AC71" s="148"/>
    </row>
    <row r="72" spans="1:29" ht="21" customHeight="1" x14ac:dyDescent="0.3">
      <c r="A72" s="1"/>
      <c r="B72" s="1"/>
      <c r="C72" s="3"/>
      <c r="D72" s="5"/>
      <c r="E72" s="1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80"/>
      <c r="Y72" s="43"/>
      <c r="Z72" s="80">
        <f t="shared" si="2"/>
        <v>0</v>
      </c>
      <c r="AA72" s="1"/>
      <c r="AB72" s="2"/>
      <c r="AC72" s="148"/>
    </row>
    <row r="73" spans="1:29" x14ac:dyDescent="0.3">
      <c r="A73" s="1"/>
      <c r="B73" s="1"/>
      <c r="C73" s="3"/>
      <c r="D73" s="5"/>
      <c r="E73" s="1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80"/>
      <c r="Y73" s="43"/>
      <c r="Z73" s="80">
        <f t="shared" ref="Z73:Z78" si="8">X73+Y73</f>
        <v>0</v>
      </c>
      <c r="AA73" s="1"/>
      <c r="AB73" s="2"/>
      <c r="AC73" s="148"/>
    </row>
    <row r="74" spans="1:29" x14ac:dyDescent="0.3">
      <c r="A74" s="1"/>
      <c r="B74" s="1"/>
      <c r="C74" s="3"/>
      <c r="D74" s="5"/>
      <c r="E74" s="1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80"/>
      <c r="Y74" s="43"/>
      <c r="Z74" s="80">
        <f t="shared" si="8"/>
        <v>0</v>
      </c>
      <c r="AA74" s="1"/>
      <c r="AB74" s="2"/>
      <c r="AC74" s="148"/>
    </row>
    <row r="75" spans="1:29" x14ac:dyDescent="0.3">
      <c r="A75" s="1"/>
      <c r="B75" s="1"/>
      <c r="C75" s="3"/>
      <c r="D75" s="5"/>
      <c r="E75" s="1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80"/>
      <c r="Y75" s="43"/>
      <c r="Z75" s="80">
        <f t="shared" si="8"/>
        <v>0</v>
      </c>
      <c r="AA75" s="1"/>
      <c r="AB75" s="2"/>
      <c r="AC75" s="148"/>
    </row>
    <row r="76" spans="1:29" x14ac:dyDescent="0.3">
      <c r="A76" s="1"/>
      <c r="B76" s="1"/>
      <c r="C76" s="3"/>
      <c r="D76" s="5"/>
      <c r="E76" s="1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80"/>
      <c r="Y76" s="43"/>
      <c r="Z76" s="80">
        <f t="shared" si="8"/>
        <v>0</v>
      </c>
      <c r="AA76" s="1"/>
      <c r="AB76" s="2"/>
      <c r="AC76" s="148"/>
    </row>
    <row r="77" spans="1:29" x14ac:dyDescent="0.3">
      <c r="A77" s="1"/>
      <c r="B77" s="1"/>
      <c r="C77" s="3"/>
      <c r="D77" s="5"/>
      <c r="E77" s="1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80"/>
      <c r="Y77" s="43"/>
      <c r="Z77" s="80">
        <f t="shared" si="8"/>
        <v>0</v>
      </c>
      <c r="AA77" s="1"/>
      <c r="AB77" s="2"/>
      <c r="AC77" s="148"/>
    </row>
    <row r="78" spans="1:29" x14ac:dyDescent="0.3">
      <c r="A78" s="1"/>
      <c r="B78" s="1"/>
      <c r="C78" s="3"/>
      <c r="D78" s="5"/>
      <c r="E78" s="1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80"/>
      <c r="Y78" s="43"/>
      <c r="Z78" s="80">
        <f t="shared" si="8"/>
        <v>0</v>
      </c>
      <c r="AA78" s="1"/>
      <c r="AB78" s="2"/>
      <c r="AC78" s="148"/>
    </row>
    <row r="79" spans="1:29" x14ac:dyDescent="0.3">
      <c r="A79" s="1"/>
      <c r="B79" s="1"/>
      <c r="C79" s="3"/>
      <c r="D79" s="5"/>
      <c r="E79" s="1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80"/>
      <c r="Y79" s="43"/>
      <c r="Z79" s="80">
        <f t="shared" ref="Z79:Z81" si="9">X79+Y79</f>
        <v>0</v>
      </c>
      <c r="AA79" s="1"/>
      <c r="AB79" s="2"/>
      <c r="AC79" s="148"/>
    </row>
    <row r="80" spans="1:29" x14ac:dyDescent="0.3">
      <c r="A80" s="1"/>
      <c r="B80" s="1"/>
      <c r="C80" s="3"/>
      <c r="D80" s="5"/>
      <c r="E80" s="1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80"/>
      <c r="Y80" s="43"/>
      <c r="Z80" s="80">
        <f t="shared" si="9"/>
        <v>0</v>
      </c>
      <c r="AA80" s="1"/>
      <c r="AB80" s="2"/>
      <c r="AC80" s="148"/>
    </row>
    <row r="81" spans="1:29" x14ac:dyDescent="0.3">
      <c r="A81" s="1"/>
      <c r="B81" s="1"/>
      <c r="C81" s="3"/>
      <c r="D81" s="5"/>
      <c r="E81" s="1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80"/>
      <c r="Y81" s="43"/>
      <c r="Z81" s="80">
        <f t="shared" si="9"/>
        <v>0</v>
      </c>
      <c r="AA81" s="1"/>
      <c r="AB81" s="2"/>
      <c r="AC81" s="148"/>
    </row>
    <row r="82" spans="1:29" x14ac:dyDescent="0.3">
      <c r="B82" s="1"/>
      <c r="C82" s="3"/>
      <c r="D82" s="5"/>
      <c r="E82" s="1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80"/>
      <c r="Y82" s="43"/>
      <c r="Z82" s="80">
        <f t="shared" ref="Z82:Z102" si="10">X82+Y82</f>
        <v>0</v>
      </c>
      <c r="AA82" s="1"/>
      <c r="AB82" s="2"/>
      <c r="AC82" s="148"/>
    </row>
    <row r="83" spans="1:29" x14ac:dyDescent="0.3">
      <c r="A83" s="1"/>
      <c r="B83" s="1"/>
      <c r="C83" s="3"/>
      <c r="D83" s="5"/>
      <c r="E83" s="1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80"/>
      <c r="Y83" s="43"/>
      <c r="Z83" s="80">
        <f t="shared" si="10"/>
        <v>0</v>
      </c>
      <c r="AA83" s="1"/>
      <c r="AB83" s="2"/>
      <c r="AC83" s="148"/>
    </row>
    <row r="84" spans="1:29" x14ac:dyDescent="0.3">
      <c r="A84" s="1"/>
      <c r="B84" s="1"/>
      <c r="C84" s="3"/>
      <c r="D84" s="5"/>
      <c r="E84" s="1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80"/>
      <c r="Y84" s="43"/>
      <c r="Z84" s="80">
        <f t="shared" si="10"/>
        <v>0</v>
      </c>
      <c r="AA84" s="1"/>
      <c r="AB84" s="2"/>
      <c r="AC84" s="148"/>
    </row>
    <row r="85" spans="1:29" x14ac:dyDescent="0.3">
      <c r="A85" s="1"/>
      <c r="B85" s="1"/>
      <c r="C85" s="3"/>
      <c r="D85" s="5"/>
      <c r="E85" s="1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80"/>
      <c r="Y85" s="43"/>
      <c r="Z85" s="80">
        <f t="shared" si="10"/>
        <v>0</v>
      </c>
      <c r="AA85" s="1"/>
      <c r="AB85" s="2"/>
      <c r="AC85" s="148"/>
    </row>
    <row r="86" spans="1:29" x14ac:dyDescent="0.3">
      <c r="A86" s="1"/>
      <c r="B86" s="1"/>
      <c r="C86" s="3"/>
      <c r="D86" s="5"/>
      <c r="E86" s="1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80"/>
      <c r="Y86" s="43"/>
      <c r="Z86" s="80">
        <f t="shared" si="10"/>
        <v>0</v>
      </c>
      <c r="AA86" s="1"/>
      <c r="AB86" s="2"/>
      <c r="AC86" s="148"/>
    </row>
    <row r="87" spans="1:29" x14ac:dyDescent="0.3">
      <c r="A87" s="1"/>
      <c r="B87" s="1"/>
      <c r="C87" s="3"/>
      <c r="D87" s="5"/>
      <c r="E87" s="1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80"/>
      <c r="Y87" s="43"/>
      <c r="Z87" s="80">
        <f t="shared" si="10"/>
        <v>0</v>
      </c>
      <c r="AA87" s="1"/>
      <c r="AB87" s="2"/>
      <c r="AC87" s="148"/>
    </row>
    <row r="88" spans="1:29" x14ac:dyDescent="0.3">
      <c r="B88" s="3"/>
      <c r="C88" s="3"/>
      <c r="D88" s="5"/>
      <c r="E88" s="1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80"/>
      <c r="Y88" s="43"/>
      <c r="Z88" s="80">
        <f t="shared" si="10"/>
        <v>0</v>
      </c>
      <c r="AA88" s="1"/>
      <c r="AB88" s="2"/>
      <c r="AC88" s="148"/>
    </row>
    <row r="89" spans="1:29" x14ac:dyDescent="0.3">
      <c r="A89" s="1"/>
      <c r="B89" s="1"/>
      <c r="C89" s="3"/>
      <c r="D89" s="5"/>
      <c r="E89" s="1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80"/>
      <c r="Y89" s="43"/>
      <c r="Z89" s="80">
        <f t="shared" si="10"/>
        <v>0</v>
      </c>
      <c r="AA89" s="1"/>
      <c r="AB89" s="2"/>
      <c r="AC89" s="148"/>
    </row>
    <row r="90" spans="1:29" x14ac:dyDescent="0.3">
      <c r="A90" s="1"/>
      <c r="B90" s="1"/>
      <c r="C90" s="3"/>
      <c r="D90" s="5"/>
      <c r="E90" s="1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80"/>
      <c r="Y90" s="43"/>
      <c r="Z90" s="80">
        <f t="shared" si="10"/>
        <v>0</v>
      </c>
      <c r="AA90" s="1"/>
      <c r="AB90" s="2"/>
      <c r="AC90" s="148"/>
    </row>
    <row r="91" spans="1:29" x14ac:dyDescent="0.3">
      <c r="A91" s="1"/>
      <c r="B91" s="1"/>
      <c r="C91" s="3"/>
      <c r="D91" s="5"/>
      <c r="E91" s="1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80"/>
      <c r="Y91" s="43"/>
      <c r="Z91" s="80">
        <f t="shared" si="10"/>
        <v>0</v>
      </c>
      <c r="AA91" s="1"/>
      <c r="AB91" s="2"/>
      <c r="AC91" s="148"/>
    </row>
    <row r="92" spans="1:29" x14ac:dyDescent="0.3">
      <c r="A92" s="1"/>
      <c r="B92" s="3"/>
      <c r="C92" s="3"/>
      <c r="D92" s="5"/>
      <c r="E92" s="1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80"/>
      <c r="Y92" s="43"/>
      <c r="Z92" s="80">
        <f t="shared" si="10"/>
        <v>0</v>
      </c>
      <c r="AA92" s="1"/>
      <c r="AB92" s="2"/>
      <c r="AC92" s="148"/>
    </row>
    <row r="93" spans="1:29" x14ac:dyDescent="0.3">
      <c r="A93" s="203"/>
      <c r="B93" s="1"/>
      <c r="C93" s="3"/>
      <c r="D93" s="5"/>
      <c r="E93" s="1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80"/>
      <c r="Y93" s="43"/>
      <c r="Z93" s="80">
        <f t="shared" si="10"/>
        <v>0</v>
      </c>
      <c r="AA93" s="1"/>
      <c r="AB93" s="2"/>
      <c r="AC93" s="148"/>
    </row>
    <row r="94" spans="1:29" x14ac:dyDescent="0.3">
      <c r="A94" s="203"/>
      <c r="B94" s="1"/>
      <c r="C94" s="3"/>
      <c r="D94" s="5"/>
      <c r="E94" s="1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80"/>
      <c r="Y94" s="43"/>
      <c r="Z94" s="80">
        <f t="shared" si="10"/>
        <v>0</v>
      </c>
      <c r="AA94" s="1"/>
      <c r="AB94" s="2"/>
      <c r="AC94" s="148"/>
    </row>
    <row r="95" spans="1:29" x14ac:dyDescent="0.3">
      <c r="A95" s="1"/>
      <c r="B95" s="1"/>
      <c r="C95" s="3"/>
      <c r="D95" s="5"/>
      <c r="E95" s="1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80"/>
      <c r="Y95" s="43"/>
      <c r="Z95" s="80">
        <f t="shared" si="10"/>
        <v>0</v>
      </c>
      <c r="AA95" s="1"/>
      <c r="AB95" s="2"/>
      <c r="AC95" s="148"/>
    </row>
    <row r="96" spans="1:29" x14ac:dyDescent="0.3">
      <c r="A96" s="1"/>
      <c r="B96" s="1"/>
      <c r="C96" s="3"/>
      <c r="D96" s="5"/>
      <c r="E96" s="1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80"/>
      <c r="Y96" s="43"/>
      <c r="Z96" s="80">
        <f t="shared" si="10"/>
        <v>0</v>
      </c>
      <c r="AA96" s="1"/>
      <c r="AB96" s="2"/>
      <c r="AC96" s="148"/>
    </row>
    <row r="97" spans="1:29" x14ac:dyDescent="0.3">
      <c r="A97" s="1"/>
      <c r="B97" s="1"/>
      <c r="C97" s="3"/>
      <c r="D97" s="5"/>
      <c r="E97" s="1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80"/>
      <c r="Y97" s="43"/>
      <c r="Z97" s="80">
        <f t="shared" si="10"/>
        <v>0</v>
      </c>
      <c r="AA97" s="1"/>
      <c r="AB97" s="2"/>
      <c r="AC97" s="148"/>
    </row>
    <row r="98" spans="1:29" x14ac:dyDescent="0.3">
      <c r="A98" s="1"/>
      <c r="B98" s="1"/>
      <c r="C98" s="3"/>
      <c r="D98" s="5"/>
      <c r="E98" s="1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80"/>
      <c r="Y98" s="43"/>
      <c r="Z98" s="80">
        <f t="shared" si="10"/>
        <v>0</v>
      </c>
      <c r="AA98" s="1"/>
      <c r="AB98" s="2"/>
      <c r="AC98" s="148"/>
    </row>
    <row r="99" spans="1:29" x14ac:dyDescent="0.3">
      <c r="A99" s="1"/>
      <c r="B99" s="1"/>
      <c r="C99" s="3"/>
      <c r="D99" s="5"/>
      <c r="E99" s="1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80"/>
      <c r="Y99" s="43"/>
      <c r="Z99" s="80">
        <f t="shared" si="10"/>
        <v>0</v>
      </c>
      <c r="AA99" s="1"/>
      <c r="AB99" s="2"/>
      <c r="AC99" s="148"/>
    </row>
    <row r="100" spans="1:29" x14ac:dyDescent="0.3">
      <c r="A100" s="1"/>
      <c r="B100" s="1"/>
      <c r="C100" s="3"/>
      <c r="D100" s="5"/>
      <c r="E100" s="1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80"/>
      <c r="Y100" s="43"/>
      <c r="Z100" s="80">
        <f t="shared" si="10"/>
        <v>0</v>
      </c>
      <c r="AA100" s="1"/>
      <c r="AB100" s="2"/>
      <c r="AC100" s="148"/>
    </row>
    <row r="101" spans="1:29" x14ac:dyDescent="0.3">
      <c r="A101" s="1"/>
      <c r="B101" s="1"/>
      <c r="C101" s="3"/>
      <c r="D101" s="5"/>
      <c r="E101" s="1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80"/>
      <c r="Y101" s="43"/>
      <c r="Z101" s="80">
        <f t="shared" ref="Z101" si="11">X101+Y101</f>
        <v>0</v>
      </c>
      <c r="AA101" s="1"/>
      <c r="AB101" s="2"/>
      <c r="AC101" s="148"/>
    </row>
    <row r="102" spans="1:29" x14ac:dyDescent="0.3">
      <c r="A102" s="1"/>
      <c r="B102" s="1"/>
      <c r="C102" s="3"/>
      <c r="D102" s="5"/>
      <c r="E102" s="1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80"/>
      <c r="Y102" s="43"/>
      <c r="Z102" s="80">
        <f t="shared" si="10"/>
        <v>0</v>
      </c>
      <c r="AA102" s="1"/>
      <c r="AB102" s="2"/>
      <c r="AC102" s="148"/>
    </row>
    <row r="103" spans="1:29" s="126" customFormat="1" x14ac:dyDescent="0.3">
      <c r="A103" s="119"/>
      <c r="B103" s="120"/>
      <c r="C103" s="120"/>
      <c r="D103" s="121"/>
      <c r="E103" s="119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59"/>
      <c r="Y103" s="122"/>
      <c r="Z103" s="122">
        <f>SUM(X103:Y103)</f>
        <v>0</v>
      </c>
      <c r="AA103" s="123"/>
      <c r="AB103" s="124"/>
      <c r="AC103" s="125"/>
    </row>
    <row r="104" spans="1:29" x14ac:dyDescent="0.3">
      <c r="A104" s="1"/>
      <c r="B104" s="1"/>
      <c r="C104" s="1"/>
      <c r="D104" s="5"/>
      <c r="E104" s="1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1"/>
      <c r="AB104" s="2"/>
      <c r="AC104" s="3"/>
    </row>
    <row r="105" spans="1:29" x14ac:dyDescent="0.3">
      <c r="A105" s="1"/>
      <c r="B105" s="1"/>
      <c r="C105" s="1"/>
      <c r="D105" s="5"/>
      <c r="E105" s="1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1"/>
      <c r="AB105" s="2"/>
      <c r="AC105" s="3"/>
    </row>
    <row r="106" spans="1:29" x14ac:dyDescent="0.3">
      <c r="A106" s="1"/>
      <c r="B106" s="1"/>
      <c r="C106" s="1"/>
      <c r="D106" s="5"/>
      <c r="E106" s="1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1"/>
      <c r="AB106" s="2"/>
      <c r="AC106" s="3"/>
    </row>
    <row r="107" spans="1:29" x14ac:dyDescent="0.3">
      <c r="A107" s="1"/>
      <c r="B107" s="1"/>
      <c r="C107" s="1"/>
      <c r="D107" s="5"/>
      <c r="E107" s="1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1"/>
      <c r="AB107" s="2"/>
      <c r="AC107" s="3"/>
    </row>
    <row r="108" spans="1:29" x14ac:dyDescent="0.3">
      <c r="A108" s="1"/>
      <c r="B108" s="1"/>
      <c r="C108" s="1"/>
      <c r="D108" s="5"/>
      <c r="E108" s="1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1"/>
      <c r="AB108" s="2"/>
      <c r="AC108" s="3"/>
    </row>
    <row r="109" spans="1:29" x14ac:dyDescent="0.3">
      <c r="A109" s="1"/>
      <c r="B109" s="1"/>
      <c r="C109" s="1"/>
      <c r="D109" s="5"/>
      <c r="E109" s="1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1"/>
      <c r="AB109" s="2"/>
      <c r="AC109" s="3"/>
    </row>
    <row r="110" spans="1:29" x14ac:dyDescent="0.3">
      <c r="A110" s="1"/>
      <c r="B110" s="1"/>
      <c r="C110" s="1"/>
      <c r="D110" s="5"/>
      <c r="E110" s="1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1"/>
      <c r="AB110" s="2"/>
      <c r="AC110" s="3"/>
    </row>
    <row r="111" spans="1:29" x14ac:dyDescent="0.3">
      <c r="A111" s="1"/>
      <c r="B111" s="1"/>
      <c r="C111" s="1"/>
      <c r="D111" s="5"/>
      <c r="E111" s="1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1"/>
      <c r="AB111" s="2"/>
      <c r="AC111" s="3"/>
    </row>
    <row r="112" spans="1:29" x14ac:dyDescent="0.3">
      <c r="A112" s="1"/>
      <c r="B112" s="1"/>
      <c r="C112" s="1"/>
      <c r="D112" s="5"/>
      <c r="E112" s="1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1"/>
      <c r="AB112" s="2"/>
      <c r="AC112" s="3"/>
    </row>
    <row r="113" spans="1:29" x14ac:dyDescent="0.3">
      <c r="A113" s="1"/>
      <c r="B113" s="1"/>
      <c r="C113" s="1"/>
      <c r="D113" s="5"/>
      <c r="E113" s="1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1"/>
      <c r="AB113" s="2"/>
      <c r="AC113" s="3"/>
    </row>
    <row r="114" spans="1:29" x14ac:dyDescent="0.3">
      <c r="A114" s="1"/>
      <c r="B114" s="1"/>
      <c r="C114" s="1"/>
      <c r="D114" s="5"/>
      <c r="E114" s="1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1"/>
      <c r="AB114" s="2"/>
      <c r="AC114" s="3"/>
    </row>
    <row r="115" spans="1:29" x14ac:dyDescent="0.3">
      <c r="A115" s="1"/>
      <c r="B115" s="1"/>
      <c r="C115" s="1"/>
      <c r="D115" s="5"/>
      <c r="E115" s="1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1"/>
      <c r="AB115" s="2"/>
      <c r="AC115" s="3"/>
    </row>
    <row r="116" spans="1:29" x14ac:dyDescent="0.3">
      <c r="A116" s="1"/>
      <c r="B116" s="1"/>
      <c r="C116" s="1"/>
      <c r="D116" s="5"/>
      <c r="E116" s="1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1"/>
      <c r="AB116" s="2"/>
      <c r="AC116" s="3"/>
    </row>
    <row r="117" spans="1:29" x14ac:dyDescent="0.3">
      <c r="A117" s="1"/>
      <c r="B117" s="1"/>
      <c r="C117" s="1"/>
      <c r="D117" s="5"/>
      <c r="E117" s="1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1"/>
      <c r="AB117" s="2"/>
      <c r="AC117" s="3"/>
    </row>
    <row r="118" spans="1:29" x14ac:dyDescent="0.3">
      <c r="A118" s="1"/>
      <c r="B118" s="1"/>
      <c r="C118" s="1"/>
      <c r="D118" s="5"/>
      <c r="E118" s="1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1"/>
      <c r="AB118" s="2"/>
      <c r="AC118" s="3"/>
    </row>
    <row r="119" spans="1:29" x14ac:dyDescent="0.3">
      <c r="A119" s="1"/>
      <c r="B119" s="1"/>
      <c r="C119" s="1"/>
      <c r="D119" s="5"/>
      <c r="E119" s="1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1"/>
      <c r="AB119" s="2"/>
      <c r="AC119" s="3"/>
    </row>
    <row r="120" spans="1:29" x14ac:dyDescent="0.3">
      <c r="A120" s="1"/>
      <c r="B120" s="1"/>
      <c r="C120" s="1"/>
      <c r="D120" s="5"/>
      <c r="E120" s="1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1"/>
      <c r="AB120" s="2"/>
      <c r="AC120" s="3"/>
    </row>
    <row r="121" spans="1:29" x14ac:dyDescent="0.3">
      <c r="A121" s="1"/>
      <c r="B121" s="1"/>
      <c r="C121" s="1"/>
      <c r="D121" s="5"/>
      <c r="E121" s="1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1"/>
      <c r="AB121" s="2"/>
      <c r="AC121" s="3"/>
    </row>
    <row r="122" spans="1:29" x14ac:dyDescent="0.3">
      <c r="A122" s="1"/>
      <c r="B122" s="1"/>
      <c r="C122" s="1"/>
      <c r="D122" s="5"/>
      <c r="E122" s="1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1"/>
      <c r="AB122" s="2"/>
      <c r="AC122" s="3"/>
    </row>
    <row r="123" spans="1:29" x14ac:dyDescent="0.3">
      <c r="A123" s="1"/>
      <c r="B123" s="1"/>
      <c r="C123" s="1"/>
      <c r="D123" s="5"/>
      <c r="E123" s="1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1"/>
      <c r="AB123" s="2"/>
      <c r="AC123" s="3"/>
    </row>
    <row r="124" spans="1:29" x14ac:dyDescent="0.3">
      <c r="A124" s="1"/>
      <c r="B124" s="1"/>
      <c r="C124" s="1"/>
      <c r="D124" s="5"/>
      <c r="E124" s="1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1"/>
      <c r="AB124" s="2"/>
      <c r="AC124" s="3"/>
    </row>
    <row r="125" spans="1:29" x14ac:dyDescent="0.3">
      <c r="A125" s="1"/>
      <c r="B125" s="1"/>
      <c r="C125" s="1"/>
      <c r="D125" s="5"/>
      <c r="E125" s="1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1"/>
      <c r="AB125" s="2"/>
      <c r="AC125" s="3"/>
    </row>
    <row r="126" spans="1:29" x14ac:dyDescent="0.3">
      <c r="A126" s="1"/>
      <c r="B126" s="1"/>
      <c r="C126" s="1"/>
      <c r="D126" s="5"/>
      <c r="E126" s="1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1"/>
      <c r="AB126" s="2"/>
      <c r="AC126" s="3"/>
    </row>
    <row r="127" spans="1:29" x14ac:dyDescent="0.3">
      <c r="A127" s="1"/>
      <c r="B127" s="1"/>
      <c r="C127" s="1"/>
      <c r="D127" s="5"/>
      <c r="E127" s="1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1"/>
      <c r="AB127" s="2"/>
      <c r="AC127" s="3"/>
    </row>
    <row r="128" spans="1:29" x14ac:dyDescent="0.3">
      <c r="A128" s="1"/>
      <c r="B128" s="1"/>
      <c r="C128" s="1"/>
      <c r="D128" s="5"/>
      <c r="E128" s="1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1"/>
      <c r="AB128" s="2"/>
      <c r="AC128" s="3"/>
    </row>
    <row r="129" spans="1:29" x14ac:dyDescent="0.3">
      <c r="A129" s="1"/>
      <c r="B129" s="1"/>
      <c r="C129" s="1"/>
      <c r="D129" s="5"/>
      <c r="E129" s="1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1"/>
      <c r="AB129" s="2"/>
      <c r="AC129" s="3"/>
    </row>
    <row r="130" spans="1:29" x14ac:dyDescent="0.3">
      <c r="A130" s="1"/>
      <c r="B130" s="1"/>
      <c r="C130" s="1"/>
      <c r="D130" s="5"/>
      <c r="E130" s="1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1"/>
      <c r="AB130" s="2"/>
      <c r="AC130" s="3"/>
    </row>
    <row r="131" spans="1:29" x14ac:dyDescent="0.3">
      <c r="A131" s="46"/>
      <c r="B131" s="1"/>
      <c r="C131" s="1"/>
      <c r="D131" s="6"/>
      <c r="E131" s="1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60"/>
      <c r="AA131" s="1"/>
      <c r="AB131" s="1"/>
      <c r="AC131" s="1"/>
    </row>
    <row r="132" spans="1:29" x14ac:dyDescent="0.3">
      <c r="R132" t="s">
        <v>10</v>
      </c>
      <c r="T132" t="s">
        <v>10</v>
      </c>
    </row>
    <row r="133" spans="1:29" x14ac:dyDescent="0.3">
      <c r="X133" s="41">
        <f>SUM(F131:W131)</f>
        <v>0</v>
      </c>
      <c r="Y133" s="41">
        <f>SUM(X131:Y131)</f>
        <v>0</v>
      </c>
    </row>
  </sheetData>
  <mergeCells count="2">
    <mergeCell ref="F2:O2"/>
    <mergeCell ref="P2:T2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35" fitToHeight="0" orientation="landscape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E69D2-DFE6-4DBB-B79C-89B1C7EE3647}">
  <dimension ref="A1:D21"/>
  <sheetViews>
    <sheetView zoomScale="115" zoomScaleNormal="115" workbookViewId="0">
      <selection activeCell="C19" sqref="C19"/>
    </sheetView>
  </sheetViews>
  <sheetFormatPr defaultColWidth="8.6640625" defaultRowHeight="14.4" x14ac:dyDescent="0.3"/>
  <cols>
    <col min="1" max="1" width="20" customWidth="1"/>
    <col min="2" max="2" width="28.44140625" bestFit="1" customWidth="1"/>
    <col min="3" max="3" width="75.109375" customWidth="1"/>
    <col min="4" max="4" width="13.5546875" customWidth="1"/>
  </cols>
  <sheetData>
    <row r="1" spans="1:4" ht="15.6" x14ac:dyDescent="0.3">
      <c r="A1" s="25"/>
      <c r="B1" s="25" t="s">
        <v>26</v>
      </c>
      <c r="C1" s="25" t="s">
        <v>27</v>
      </c>
      <c r="D1" s="25" t="s">
        <v>1</v>
      </c>
    </row>
    <row r="2" spans="1:4" x14ac:dyDescent="0.3">
      <c r="A2" s="150">
        <v>45387</v>
      </c>
      <c r="B2" t="s">
        <v>355</v>
      </c>
      <c r="C2" t="s">
        <v>438</v>
      </c>
      <c r="D2" s="9">
        <v>13500</v>
      </c>
    </row>
    <row r="3" spans="1:4" ht="15.6" x14ac:dyDescent="0.3">
      <c r="A3" s="127">
        <v>45473</v>
      </c>
      <c r="B3" s="128" t="s">
        <v>340</v>
      </c>
      <c r="C3" s="151" t="s">
        <v>439</v>
      </c>
      <c r="D3" s="232">
        <v>18.079999999999998</v>
      </c>
    </row>
    <row r="4" spans="1:4" x14ac:dyDescent="0.3">
      <c r="A4" s="260" t="s">
        <v>517</v>
      </c>
      <c r="B4" s="1" t="s">
        <v>12</v>
      </c>
      <c r="C4" s="149" t="s">
        <v>439</v>
      </c>
      <c r="D4" s="9">
        <v>36.799999999999997</v>
      </c>
    </row>
    <row r="5" spans="1:4" x14ac:dyDescent="0.3">
      <c r="A5" s="2" t="s">
        <v>518</v>
      </c>
      <c r="B5" s="1" t="s">
        <v>478</v>
      </c>
      <c r="C5" s="149" t="s">
        <v>479</v>
      </c>
      <c r="D5" s="9">
        <v>13500</v>
      </c>
    </row>
    <row r="6" spans="1:4" ht="15.6" hidden="1" x14ac:dyDescent="0.3">
      <c r="A6" s="130" t="s">
        <v>519</v>
      </c>
      <c r="B6" s="195">
        <v>12922</v>
      </c>
      <c r="C6" s="149"/>
      <c r="D6" s="233"/>
    </row>
    <row r="7" spans="1:4" ht="15.6" x14ac:dyDescent="0.3">
      <c r="A7" s="129" t="s">
        <v>520</v>
      </c>
      <c r="B7" s="128" t="s">
        <v>491</v>
      </c>
      <c r="C7" s="151" t="s">
        <v>492</v>
      </c>
      <c r="D7" s="232">
        <v>375</v>
      </c>
    </row>
    <row r="8" spans="1:4" ht="15.6" x14ac:dyDescent="0.3">
      <c r="A8" s="237">
        <v>45565</v>
      </c>
      <c r="B8" s="238" t="s">
        <v>340</v>
      </c>
      <c r="C8" s="151" t="s">
        <v>439</v>
      </c>
      <c r="D8" s="232">
        <v>138.76</v>
      </c>
    </row>
    <row r="9" spans="1:4" x14ac:dyDescent="0.3">
      <c r="A9" s="150"/>
      <c r="B9" s="86"/>
      <c r="C9" s="236"/>
      <c r="D9" s="9"/>
    </row>
    <row r="10" spans="1:4" ht="15.6" x14ac:dyDescent="0.3">
      <c r="A10" s="127"/>
      <c r="B10" s="256"/>
      <c r="C10" s="151"/>
      <c r="D10" s="232"/>
    </row>
    <row r="11" spans="1:4" x14ac:dyDescent="0.3">
      <c r="A11" s="150"/>
      <c r="D11" s="9"/>
    </row>
    <row r="12" spans="1:4" ht="15.6" x14ac:dyDescent="0.3">
      <c r="A12" s="127"/>
      <c r="B12" s="128"/>
      <c r="C12" s="151"/>
      <c r="D12" s="232"/>
    </row>
    <row r="13" spans="1:4" ht="15.6" x14ac:dyDescent="0.3">
      <c r="A13" s="131"/>
      <c r="B13" s="132"/>
      <c r="C13" s="207"/>
      <c r="D13" s="232"/>
    </row>
    <row r="14" spans="1:4" ht="15.6" hidden="1" x14ac:dyDescent="0.3">
      <c r="A14" s="39"/>
      <c r="B14" s="40"/>
      <c r="C14" s="40"/>
      <c r="D14" s="234"/>
    </row>
    <row r="15" spans="1:4" ht="15.6" x14ac:dyDescent="0.3">
      <c r="A15" s="27" t="s">
        <v>525</v>
      </c>
      <c r="B15" s="26"/>
      <c r="C15" s="26"/>
      <c r="D15" s="235">
        <f>SUM(D2:D14)</f>
        <v>27568.639999999996</v>
      </c>
    </row>
    <row r="21" spans="3:3" x14ac:dyDescent="0.3">
      <c r="C21" t="s">
        <v>506</v>
      </c>
    </row>
  </sheetData>
  <phoneticPr fontId="19" type="noConversion"/>
  <pageMargins left="0.7" right="0.7" top="0.75" bottom="0.75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B4639-6D86-417E-908B-956886981482}">
  <dimension ref="A1:H15"/>
  <sheetViews>
    <sheetView workbookViewId="0">
      <selection activeCell="H9" sqref="H9"/>
    </sheetView>
  </sheetViews>
  <sheetFormatPr defaultColWidth="14.44140625" defaultRowHeight="14.4" x14ac:dyDescent="0.3"/>
  <cols>
    <col min="1" max="2" width="8.88671875" customWidth="1"/>
    <col min="3" max="3" width="23.33203125" customWidth="1"/>
    <col min="4" max="4" width="14" customWidth="1"/>
    <col min="5" max="5" width="8.88671875" customWidth="1"/>
    <col min="6" max="6" width="12.88671875" customWidth="1"/>
    <col min="7" max="7" width="8.88671875" customWidth="1"/>
    <col min="8" max="8" width="99.44140625" customWidth="1"/>
    <col min="9" max="26" width="8.88671875" customWidth="1"/>
  </cols>
  <sheetData>
    <row r="1" spans="1:8" x14ac:dyDescent="0.3">
      <c r="A1" s="91" t="s">
        <v>272</v>
      </c>
      <c r="B1" s="92"/>
    </row>
    <row r="2" spans="1:8" x14ac:dyDescent="0.3">
      <c r="A2" s="93"/>
      <c r="B2" s="92"/>
    </row>
    <row r="3" spans="1:8" x14ac:dyDescent="0.3">
      <c r="A3" s="94"/>
      <c r="B3" s="95"/>
      <c r="C3" s="96"/>
      <c r="D3" s="100" t="s">
        <v>250</v>
      </c>
      <c r="E3" s="101"/>
      <c r="F3" s="102" t="s">
        <v>219</v>
      </c>
      <c r="G3" s="99"/>
      <c r="H3" s="97" t="s">
        <v>273</v>
      </c>
    </row>
    <row r="4" spans="1:8" x14ac:dyDescent="0.3">
      <c r="A4" s="94"/>
      <c r="B4" s="95"/>
      <c r="C4" s="96"/>
      <c r="D4" s="103" t="s">
        <v>12</v>
      </c>
      <c r="E4" s="104"/>
      <c r="F4" s="105" t="s">
        <v>12</v>
      </c>
      <c r="G4" s="99"/>
      <c r="H4" s="96"/>
    </row>
    <row r="5" spans="1:8" x14ac:dyDescent="0.3">
      <c r="A5" s="94"/>
      <c r="B5" s="95"/>
      <c r="C5" s="96"/>
      <c r="D5" s="106"/>
      <c r="E5" s="101"/>
      <c r="F5" s="107"/>
      <c r="G5" s="99"/>
      <c r="H5" s="96"/>
    </row>
    <row r="6" spans="1:8" ht="26.25" customHeight="1" x14ac:dyDescent="0.3">
      <c r="A6" s="94">
        <v>1</v>
      </c>
      <c r="B6" s="95" t="s">
        <v>274</v>
      </c>
      <c r="C6" s="96"/>
      <c r="D6" s="108">
        <v>37614</v>
      </c>
      <c r="E6" s="101"/>
      <c r="F6" s="109">
        <v>34984</v>
      </c>
      <c r="G6" s="99"/>
      <c r="H6" s="96" t="s">
        <v>284</v>
      </c>
    </row>
    <row r="7" spans="1:8" x14ac:dyDescent="0.3">
      <c r="A7" s="94">
        <v>2</v>
      </c>
      <c r="B7" s="95" t="s">
        <v>275</v>
      </c>
      <c r="C7" s="96"/>
      <c r="D7" s="108">
        <v>22500</v>
      </c>
      <c r="E7" s="101"/>
      <c r="F7" s="110">
        <v>23000</v>
      </c>
      <c r="G7" s="99"/>
      <c r="H7" s="98" t="s">
        <v>285</v>
      </c>
    </row>
    <row r="8" spans="1:8" ht="28.8" x14ac:dyDescent="0.3">
      <c r="A8" s="94">
        <v>3</v>
      </c>
      <c r="B8" s="95" t="s">
        <v>276</v>
      </c>
      <c r="C8" s="96"/>
      <c r="D8" s="108">
        <v>5310.5</v>
      </c>
      <c r="E8" s="101"/>
      <c r="F8" s="109">
        <v>2839</v>
      </c>
      <c r="G8" s="99"/>
      <c r="H8" s="98" t="s">
        <v>333</v>
      </c>
    </row>
    <row r="9" spans="1:8" x14ac:dyDescent="0.3">
      <c r="A9" s="94">
        <v>4</v>
      </c>
      <c r="B9" s="95" t="s">
        <v>277</v>
      </c>
      <c r="C9" s="96"/>
      <c r="D9" s="111">
        <v>9394.7199999999993</v>
      </c>
      <c r="E9" s="101"/>
      <c r="F9" s="109">
        <v>8892</v>
      </c>
      <c r="G9" s="99"/>
      <c r="H9" s="98" t="s">
        <v>339</v>
      </c>
    </row>
    <row r="10" spans="1:8" ht="27.75" customHeight="1" x14ac:dyDescent="0.3">
      <c r="A10" s="94">
        <v>5</v>
      </c>
      <c r="B10" s="95" t="s">
        <v>278</v>
      </c>
      <c r="C10" s="96"/>
      <c r="D10" s="108">
        <v>0</v>
      </c>
      <c r="E10" s="101"/>
      <c r="F10" s="110">
        <v>0</v>
      </c>
      <c r="G10" s="99"/>
      <c r="H10" s="96"/>
    </row>
    <row r="11" spans="1:8" x14ac:dyDescent="0.3">
      <c r="A11" s="94">
        <v>6</v>
      </c>
      <c r="B11" s="95" t="s">
        <v>279</v>
      </c>
      <c r="C11" s="96"/>
      <c r="D11" s="106">
        <v>21045.69</v>
      </c>
      <c r="E11" s="101"/>
      <c r="F11" s="109">
        <v>19921</v>
      </c>
      <c r="G11" s="99"/>
      <c r="H11" s="98" t="s">
        <v>286</v>
      </c>
    </row>
    <row r="12" spans="1:8" ht="36" customHeight="1" thickBot="1" x14ac:dyDescent="0.35">
      <c r="A12" s="94">
        <v>7</v>
      </c>
      <c r="B12" s="95" t="s">
        <v>280</v>
      </c>
      <c r="C12" s="96"/>
      <c r="D12" s="112">
        <v>34983.919999999998</v>
      </c>
      <c r="E12" s="101"/>
      <c r="F12" s="109">
        <f>F6+F7+F8-F9-F11</f>
        <v>32010</v>
      </c>
      <c r="G12" s="99"/>
      <c r="H12" s="98" t="s">
        <v>334</v>
      </c>
    </row>
    <row r="13" spans="1:8" ht="28.5" customHeight="1" thickTop="1" thickBot="1" x14ac:dyDescent="0.35">
      <c r="A13" s="94">
        <v>8</v>
      </c>
      <c r="B13" s="95" t="s">
        <v>281</v>
      </c>
      <c r="C13" s="96"/>
      <c r="D13" s="112">
        <v>34983.919999999998</v>
      </c>
      <c r="E13" s="101"/>
      <c r="F13" s="109">
        <v>32010</v>
      </c>
      <c r="G13" s="99"/>
      <c r="H13" s="98"/>
    </row>
    <row r="14" spans="1:8" ht="29.25" customHeight="1" thickTop="1" x14ac:dyDescent="0.3">
      <c r="A14" s="94">
        <v>9</v>
      </c>
      <c r="B14" s="95" t="s">
        <v>282</v>
      </c>
      <c r="C14" s="96"/>
      <c r="D14" s="106">
        <v>121980.64</v>
      </c>
      <c r="E14" s="101"/>
      <c r="F14" s="109">
        <v>127444</v>
      </c>
      <c r="G14" s="99"/>
      <c r="H14" s="96" t="s">
        <v>287</v>
      </c>
    </row>
    <row r="15" spans="1:8" ht="28.5" customHeight="1" x14ac:dyDescent="0.3">
      <c r="A15" s="94">
        <v>10</v>
      </c>
      <c r="B15" s="95" t="s">
        <v>283</v>
      </c>
      <c r="C15" s="96"/>
      <c r="D15" s="106">
        <v>0</v>
      </c>
      <c r="E15" s="101"/>
      <c r="F15" s="107">
        <v>0</v>
      </c>
      <c r="G15" s="99"/>
      <c r="H15" s="9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0C23C-2D11-46E8-8373-E9C1AEC815A6}">
  <dimension ref="A1:H153"/>
  <sheetViews>
    <sheetView topLeftCell="A48" zoomScaleNormal="100" workbookViewId="0">
      <selection activeCell="B23" sqref="B23"/>
    </sheetView>
  </sheetViews>
  <sheetFormatPr defaultColWidth="13.44140625" defaultRowHeight="14.4" x14ac:dyDescent="0.3"/>
  <cols>
    <col min="1" max="1" width="20" customWidth="1"/>
    <col min="2" max="2" width="26.33203125" customWidth="1"/>
    <col min="3" max="3" width="9" customWidth="1"/>
    <col min="4" max="4" width="2.88671875" customWidth="1"/>
    <col min="5" max="5" width="9.109375" hidden="1" customWidth="1"/>
    <col min="6" max="6" width="11.6640625" customWidth="1"/>
    <col min="7" max="7" width="18.33203125" style="224" customWidth="1"/>
    <col min="8" max="8" width="17.88671875" bestFit="1" customWidth="1"/>
  </cols>
  <sheetData>
    <row r="1" spans="1:8" x14ac:dyDescent="0.3">
      <c r="A1" s="286"/>
      <c r="B1" s="286"/>
      <c r="C1" s="286"/>
      <c r="D1" s="286"/>
      <c r="E1" s="286"/>
      <c r="F1" s="286"/>
    </row>
    <row r="2" spans="1:8" x14ac:dyDescent="0.3">
      <c r="A2" s="10" t="s">
        <v>431</v>
      </c>
      <c r="B2" s="11"/>
      <c r="C2" s="11"/>
      <c r="D2" s="11"/>
      <c r="E2" s="11"/>
      <c r="F2" s="12"/>
    </row>
    <row r="3" spans="1:8" ht="15" thickBot="1" x14ac:dyDescent="0.35">
      <c r="A3" s="13"/>
      <c r="B3" s="13"/>
      <c r="E3" s="13"/>
      <c r="F3" s="14" t="s">
        <v>12</v>
      </c>
      <c r="G3" s="225" t="s">
        <v>12</v>
      </c>
    </row>
    <row r="4" spans="1:8" ht="15" thickTop="1" x14ac:dyDescent="0.3">
      <c r="A4" s="259" t="s">
        <v>517</v>
      </c>
      <c r="B4" t="s">
        <v>12</v>
      </c>
      <c r="F4" s="16"/>
    </row>
    <row r="5" spans="1:8" x14ac:dyDescent="0.3">
      <c r="A5" t="s">
        <v>518</v>
      </c>
    </row>
    <row r="6" spans="1:8" x14ac:dyDescent="0.3">
      <c r="A6" t="s">
        <v>519</v>
      </c>
      <c r="B6" s="214">
        <v>12922</v>
      </c>
      <c r="G6" s="224">
        <v>7838.13</v>
      </c>
    </row>
    <row r="7" spans="1:8" x14ac:dyDescent="0.3">
      <c r="A7" t="s">
        <v>520</v>
      </c>
      <c r="B7" t="s">
        <v>437</v>
      </c>
      <c r="G7" s="224">
        <v>20018.080000000002</v>
      </c>
    </row>
    <row r="8" spans="1:8" ht="15" thickBot="1" x14ac:dyDescent="0.35">
      <c r="B8" t="s">
        <v>358</v>
      </c>
      <c r="G8" s="224">
        <v>9541.17</v>
      </c>
    </row>
    <row r="9" spans="1:8" x14ac:dyDescent="0.3">
      <c r="A9" t="s">
        <v>521</v>
      </c>
      <c r="F9" s="16"/>
      <c r="G9" s="226">
        <f>SUM(G6:G8)</f>
        <v>37397.380000000005</v>
      </c>
    </row>
    <row r="10" spans="1:8" x14ac:dyDescent="0.3">
      <c r="A10" t="s">
        <v>522</v>
      </c>
      <c r="B10" s="214">
        <v>1188</v>
      </c>
      <c r="F10" s="16"/>
    </row>
    <row r="11" spans="1:8" x14ac:dyDescent="0.3">
      <c r="A11" t="s">
        <v>29</v>
      </c>
      <c r="B11" t="s">
        <v>30</v>
      </c>
      <c r="F11">
        <v>830</v>
      </c>
      <c r="G11" s="224">
        <v>38.659999999999997</v>
      </c>
      <c r="H11" t="s">
        <v>347</v>
      </c>
    </row>
    <row r="12" spans="1:8" x14ac:dyDescent="0.3">
      <c r="A12" t="s">
        <v>523</v>
      </c>
      <c r="B12">
        <v>312</v>
      </c>
      <c r="F12">
        <v>729</v>
      </c>
      <c r="G12" s="224">
        <v>80.540000000000006</v>
      </c>
      <c r="H12" t="s">
        <v>348</v>
      </c>
    </row>
    <row r="13" spans="1:8" x14ac:dyDescent="0.3">
      <c r="A13" t="s">
        <v>524</v>
      </c>
    </row>
    <row r="14" spans="1:8" x14ac:dyDescent="0.3">
      <c r="E14" s="19"/>
      <c r="F14" s="20"/>
      <c r="G14" s="227">
        <f>SUM(G11:G13)</f>
        <v>119.2</v>
      </c>
    </row>
    <row r="15" spans="1:8" x14ac:dyDescent="0.3">
      <c r="A15" t="s">
        <v>525</v>
      </c>
    </row>
    <row r="16" spans="1:8" x14ac:dyDescent="0.3">
      <c r="A16" t="s">
        <v>526</v>
      </c>
      <c r="B16">
        <v>137.69999999999999</v>
      </c>
    </row>
    <row r="19" spans="1:8" ht="15" thickBot="1" x14ac:dyDescent="0.35">
      <c r="C19" t="s">
        <v>31</v>
      </c>
      <c r="F19" s="16"/>
      <c r="G19" s="228">
        <f>G9-G14</f>
        <v>37278.180000000008</v>
      </c>
    </row>
    <row r="20" spans="1:8" ht="15" thickTop="1" x14ac:dyDescent="0.3">
      <c r="A20" s="15" t="s">
        <v>32</v>
      </c>
      <c r="F20" s="16"/>
    </row>
    <row r="21" spans="1:8" x14ac:dyDescent="0.3">
      <c r="B21" t="s">
        <v>33</v>
      </c>
      <c r="F21" s="16"/>
      <c r="G21" s="224">
        <v>30185.360000000001</v>
      </c>
    </row>
    <row r="22" spans="1:8" x14ac:dyDescent="0.3">
      <c r="F22" s="16"/>
    </row>
    <row r="23" spans="1:8" x14ac:dyDescent="0.3">
      <c r="B23" t="s">
        <v>34</v>
      </c>
      <c r="F23" s="16"/>
      <c r="G23" s="224">
        <v>13518</v>
      </c>
    </row>
    <row r="24" spans="1:8" x14ac:dyDescent="0.3">
      <c r="F24" s="16"/>
    </row>
    <row r="25" spans="1:8" x14ac:dyDescent="0.3">
      <c r="B25" t="s">
        <v>35</v>
      </c>
      <c r="F25" s="16"/>
      <c r="G25" s="224">
        <v>6425</v>
      </c>
    </row>
    <row r="26" spans="1:8" x14ac:dyDescent="0.3">
      <c r="F26" s="16"/>
    </row>
    <row r="27" spans="1:8" ht="15" thickBot="1" x14ac:dyDescent="0.35">
      <c r="B27" t="s">
        <v>36</v>
      </c>
      <c r="F27" s="16"/>
      <c r="G27" s="229">
        <f>G21+G23-G25</f>
        <v>37278.36</v>
      </c>
      <c r="H27" s="223"/>
    </row>
    <row r="28" spans="1:8" ht="15" thickTop="1" x14ac:dyDescent="0.3">
      <c r="F28" s="16"/>
      <c r="G28" s="230"/>
    </row>
    <row r="29" spans="1:8" x14ac:dyDescent="0.3">
      <c r="F29" s="16"/>
    </row>
    <row r="30" spans="1:8" hidden="1" x14ac:dyDescent="0.3">
      <c r="F30" s="16"/>
    </row>
    <row r="31" spans="1:8" hidden="1" x14ac:dyDescent="0.3">
      <c r="F31" s="16"/>
    </row>
    <row r="32" spans="1:8" hidden="1" x14ac:dyDescent="0.3">
      <c r="F32" s="16"/>
    </row>
    <row r="33" spans="1:8" hidden="1" x14ac:dyDescent="0.3">
      <c r="F33" s="16"/>
    </row>
    <row r="34" spans="1:8" hidden="1" x14ac:dyDescent="0.3">
      <c r="F34" s="16"/>
    </row>
    <row r="35" spans="1:8" hidden="1" x14ac:dyDescent="0.3">
      <c r="F35" s="16"/>
    </row>
    <row r="36" spans="1:8" hidden="1" x14ac:dyDescent="0.3">
      <c r="F36" s="16"/>
    </row>
    <row r="37" spans="1:8" x14ac:dyDescent="0.3">
      <c r="F37" s="16"/>
    </row>
    <row r="38" spans="1:8" x14ac:dyDescent="0.3">
      <c r="F38" s="16"/>
    </row>
    <row r="39" spans="1:8" x14ac:dyDescent="0.3">
      <c r="A39" s="10" t="s">
        <v>432</v>
      </c>
      <c r="B39" s="11"/>
      <c r="C39" s="11"/>
      <c r="D39" s="11"/>
      <c r="E39" s="11"/>
      <c r="F39" s="12"/>
      <c r="G39" s="231"/>
    </row>
    <row r="40" spans="1:8" x14ac:dyDescent="0.3">
      <c r="F40" s="16"/>
    </row>
    <row r="41" spans="1:8" ht="15" thickBot="1" x14ac:dyDescent="0.35">
      <c r="A41" s="13"/>
      <c r="B41" s="13"/>
      <c r="E41" s="13"/>
      <c r="F41" s="14" t="s">
        <v>12</v>
      </c>
      <c r="G41" s="225" t="s">
        <v>12</v>
      </c>
    </row>
    <row r="42" spans="1:8" ht="15" thickTop="1" x14ac:dyDescent="0.3">
      <c r="A42" s="15" t="s">
        <v>433</v>
      </c>
      <c r="F42" s="16"/>
      <c r="G42" s="214"/>
    </row>
    <row r="43" spans="1:8" x14ac:dyDescent="0.3">
      <c r="F43" s="16"/>
      <c r="G43" s="214"/>
    </row>
    <row r="44" spans="1:8" x14ac:dyDescent="0.3">
      <c r="B44" t="s">
        <v>504</v>
      </c>
      <c r="F44" s="16"/>
      <c r="G44" s="214">
        <v>17469.28</v>
      </c>
    </row>
    <row r="45" spans="1:8" x14ac:dyDescent="0.3">
      <c r="B45" t="s">
        <v>505</v>
      </c>
      <c r="F45" s="16"/>
      <c r="G45" s="214">
        <v>20156.84</v>
      </c>
      <c r="H45" s="17"/>
    </row>
    <row r="46" spans="1:8" x14ac:dyDescent="0.3">
      <c r="B46" t="s">
        <v>508</v>
      </c>
      <c r="F46" s="16"/>
      <c r="G46" s="214">
        <v>9577.83</v>
      </c>
      <c r="H46" s="17"/>
    </row>
    <row r="47" spans="1:8" x14ac:dyDescent="0.3">
      <c r="F47" s="16"/>
      <c r="G47" s="214"/>
      <c r="H47" s="17"/>
    </row>
    <row r="48" spans="1:8" x14ac:dyDescent="0.3">
      <c r="F48" s="16"/>
      <c r="G48" s="248">
        <f>SUM(G44:G46)</f>
        <v>47203.95</v>
      </c>
    </row>
    <row r="49" spans="1:7" hidden="1" x14ac:dyDescent="0.3">
      <c r="F49" s="16"/>
      <c r="G49" s="214"/>
    </row>
    <row r="50" spans="1:7" hidden="1" x14ac:dyDescent="0.3">
      <c r="G50" s="214"/>
    </row>
    <row r="51" spans="1:7" hidden="1" x14ac:dyDescent="0.3">
      <c r="G51" s="214"/>
    </row>
    <row r="52" spans="1:7" hidden="1" x14ac:dyDescent="0.3">
      <c r="E52" s="21"/>
      <c r="G52" s="214"/>
    </row>
    <row r="53" spans="1:7" hidden="1" x14ac:dyDescent="0.3">
      <c r="F53" s="17"/>
      <c r="G53" s="249"/>
    </row>
    <row r="54" spans="1:7" hidden="1" x14ac:dyDescent="0.3">
      <c r="F54" s="16"/>
      <c r="G54" s="214"/>
    </row>
    <row r="55" spans="1:7" x14ac:dyDescent="0.3">
      <c r="F55" s="16"/>
      <c r="G55" s="214"/>
    </row>
    <row r="56" spans="1:7" ht="15" thickBot="1" x14ac:dyDescent="0.35">
      <c r="C56" t="s">
        <v>37</v>
      </c>
      <c r="F56" s="16"/>
      <c r="G56" s="250">
        <f>G48-G53+G54</f>
        <v>47203.95</v>
      </c>
    </row>
    <row r="57" spans="1:7" ht="15" thickTop="1" x14ac:dyDescent="0.3">
      <c r="F57" s="16"/>
      <c r="G57" s="214"/>
    </row>
    <row r="58" spans="1:7" x14ac:dyDescent="0.3">
      <c r="A58" s="15" t="s">
        <v>32</v>
      </c>
      <c r="F58" s="16"/>
      <c r="G58" s="214"/>
    </row>
    <row r="59" spans="1:7" x14ac:dyDescent="0.3">
      <c r="B59" t="s">
        <v>33</v>
      </c>
      <c r="F59" s="16"/>
      <c r="G59" s="214">
        <f>G27</f>
        <v>37278.36</v>
      </c>
    </row>
    <row r="60" spans="1:7" x14ac:dyDescent="0.3">
      <c r="G60" s="214"/>
    </row>
    <row r="61" spans="1:7" x14ac:dyDescent="0.3">
      <c r="B61" t="s">
        <v>34</v>
      </c>
      <c r="F61" s="16"/>
      <c r="G61" s="214">
        <f>SUM(Receipts!D4:D8)</f>
        <v>14050.56</v>
      </c>
    </row>
    <row r="62" spans="1:7" x14ac:dyDescent="0.3">
      <c r="F62" s="16"/>
      <c r="G62" s="214"/>
    </row>
    <row r="63" spans="1:7" x14ac:dyDescent="0.3">
      <c r="B63" t="s">
        <v>35</v>
      </c>
      <c r="F63" s="16"/>
      <c r="G63" s="251">
        <f>SUM(Payments!Z21:Z48)</f>
        <v>4124.8499999999995</v>
      </c>
    </row>
    <row r="64" spans="1:7" x14ac:dyDescent="0.3">
      <c r="F64" s="16"/>
      <c r="G64" s="214"/>
    </row>
    <row r="65" spans="1:8" ht="15" thickBot="1" x14ac:dyDescent="0.35">
      <c r="B65" t="s">
        <v>36</v>
      </c>
      <c r="F65" s="16"/>
      <c r="G65" s="252">
        <f>G59+G61-G63</f>
        <v>47204.07</v>
      </c>
      <c r="H65" s="239"/>
    </row>
    <row r="66" spans="1:8" ht="15" thickTop="1" x14ac:dyDescent="0.3">
      <c r="F66" s="16"/>
      <c r="G66" s="243"/>
    </row>
    <row r="67" spans="1:8" x14ac:dyDescent="0.3">
      <c r="F67" s="16"/>
      <c r="G67" s="243"/>
    </row>
    <row r="68" spans="1:8" x14ac:dyDescent="0.3">
      <c r="F68" s="16"/>
      <c r="G68" s="239"/>
    </row>
    <row r="69" spans="1:8" x14ac:dyDescent="0.3">
      <c r="F69" s="16"/>
      <c r="G69" s="239"/>
    </row>
    <row r="70" spans="1:8" x14ac:dyDescent="0.3">
      <c r="A70" s="10" t="s">
        <v>435</v>
      </c>
      <c r="B70" s="11"/>
      <c r="C70" s="11"/>
      <c r="D70" s="11"/>
      <c r="E70" s="11"/>
      <c r="F70" s="12"/>
      <c r="G70" s="239"/>
    </row>
    <row r="71" spans="1:8" x14ac:dyDescent="0.3">
      <c r="F71" s="16"/>
      <c r="G71" s="239"/>
    </row>
    <row r="72" spans="1:8" ht="15" thickBot="1" x14ac:dyDescent="0.35">
      <c r="A72" s="13"/>
      <c r="B72" s="13"/>
      <c r="E72" s="13"/>
      <c r="F72" s="14" t="s">
        <v>12</v>
      </c>
      <c r="G72" s="244" t="s">
        <v>12</v>
      </c>
    </row>
    <row r="73" spans="1:8" ht="15" thickTop="1" x14ac:dyDescent="0.3">
      <c r="A73" s="15" t="s">
        <v>434</v>
      </c>
      <c r="F73" s="16"/>
      <c r="G73" s="239"/>
    </row>
    <row r="74" spans="1:8" x14ac:dyDescent="0.3">
      <c r="F74" s="16"/>
      <c r="G74" s="239"/>
    </row>
    <row r="75" spans="1:8" x14ac:dyDescent="0.3">
      <c r="B75" t="s">
        <v>417</v>
      </c>
      <c r="G75" s="239"/>
    </row>
    <row r="76" spans="1:8" x14ac:dyDescent="0.3">
      <c r="B76" t="s">
        <v>28</v>
      </c>
      <c r="G76" s="239"/>
    </row>
    <row r="77" spans="1:8" x14ac:dyDescent="0.3">
      <c r="G77" s="239"/>
    </row>
    <row r="78" spans="1:8" x14ac:dyDescent="0.3">
      <c r="F78" s="16"/>
      <c r="G78" s="245">
        <f>SUM(G75:G77)</f>
        <v>0</v>
      </c>
    </row>
    <row r="79" spans="1:8" x14ac:dyDescent="0.3">
      <c r="F79" s="16"/>
      <c r="G79" s="239"/>
    </row>
    <row r="80" spans="1:8" x14ac:dyDescent="0.3">
      <c r="G80" s="239"/>
    </row>
    <row r="81" spans="1:7" x14ac:dyDescent="0.3">
      <c r="A81" t="s">
        <v>29</v>
      </c>
      <c r="B81" t="s">
        <v>30</v>
      </c>
      <c r="E81" s="18" t="s">
        <v>347</v>
      </c>
      <c r="G81" s="239"/>
    </row>
    <row r="82" spans="1:7" x14ac:dyDescent="0.3">
      <c r="E82" s="18" t="s">
        <v>348</v>
      </c>
      <c r="G82" s="239"/>
    </row>
    <row r="83" spans="1:7" x14ac:dyDescent="0.3">
      <c r="E83" s="18"/>
      <c r="G83" s="240">
        <f>G78-G81-G82</f>
        <v>0</v>
      </c>
    </row>
    <row r="84" spans="1:7" x14ac:dyDescent="0.3">
      <c r="E84" s="18"/>
      <c r="G84" s="239"/>
    </row>
    <row r="85" spans="1:7" x14ac:dyDescent="0.3">
      <c r="E85" s="18"/>
      <c r="G85" s="239"/>
    </row>
    <row r="86" spans="1:7" hidden="1" x14ac:dyDescent="0.3">
      <c r="E86" s="18"/>
      <c r="G86" s="239"/>
    </row>
    <row r="87" spans="1:7" hidden="1" x14ac:dyDescent="0.3">
      <c r="E87" s="18"/>
      <c r="G87" s="239"/>
    </row>
    <row r="88" spans="1:7" hidden="1" x14ac:dyDescent="0.3">
      <c r="E88" s="18"/>
      <c r="G88" s="239"/>
    </row>
    <row r="89" spans="1:7" hidden="1" x14ac:dyDescent="0.3">
      <c r="E89" s="19"/>
      <c r="F89" s="23"/>
      <c r="G89" s="240"/>
    </row>
    <row r="90" spans="1:7" x14ac:dyDescent="0.3">
      <c r="E90" s="19"/>
      <c r="F90" s="23"/>
      <c r="G90" s="239"/>
    </row>
    <row r="91" spans="1:7" x14ac:dyDescent="0.3">
      <c r="F91" s="23"/>
      <c r="G91" s="239"/>
    </row>
    <row r="92" spans="1:7" x14ac:dyDescent="0.3">
      <c r="F92" s="16"/>
      <c r="G92" s="240">
        <f>G83</f>
        <v>0</v>
      </c>
    </row>
    <row r="93" spans="1:7" x14ac:dyDescent="0.3">
      <c r="G93" s="239"/>
    </row>
    <row r="94" spans="1:7" x14ac:dyDescent="0.3">
      <c r="G94" s="239"/>
    </row>
    <row r="95" spans="1:7" ht="15" thickBot="1" x14ac:dyDescent="0.35">
      <c r="C95" t="s">
        <v>38</v>
      </c>
      <c r="F95" s="16"/>
      <c r="G95" s="241">
        <f>G83</f>
        <v>0</v>
      </c>
    </row>
    <row r="96" spans="1:7" ht="15" thickTop="1" x14ac:dyDescent="0.3">
      <c r="A96" s="15" t="s">
        <v>32</v>
      </c>
      <c r="F96" s="16"/>
      <c r="G96" s="239"/>
    </row>
    <row r="97" spans="1:7" x14ac:dyDescent="0.3">
      <c r="B97" t="s">
        <v>33</v>
      </c>
      <c r="F97" s="16"/>
      <c r="G97" s="239"/>
    </row>
    <row r="98" spans="1:7" x14ac:dyDescent="0.3">
      <c r="F98" s="16"/>
      <c r="G98" s="239"/>
    </row>
    <row r="99" spans="1:7" x14ac:dyDescent="0.3">
      <c r="B99" t="s">
        <v>34</v>
      </c>
      <c r="F99" s="16"/>
      <c r="G99" s="246">
        <f>Receipts!D10+Receipts!D9</f>
        <v>0</v>
      </c>
    </row>
    <row r="100" spans="1:7" x14ac:dyDescent="0.3">
      <c r="F100" s="16"/>
      <c r="G100" s="239"/>
    </row>
    <row r="101" spans="1:7" x14ac:dyDescent="0.3">
      <c r="B101" t="s">
        <v>35</v>
      </c>
      <c r="F101" s="16"/>
      <c r="G101" s="239">
        <f>SUM(Payments!Z53:Z79)</f>
        <v>0</v>
      </c>
    </row>
    <row r="102" spans="1:7" x14ac:dyDescent="0.3">
      <c r="F102" s="16"/>
      <c r="G102" s="239"/>
    </row>
    <row r="103" spans="1:7" ht="15" thickBot="1" x14ac:dyDescent="0.35">
      <c r="B103" t="s">
        <v>36</v>
      </c>
      <c r="F103" s="16"/>
      <c r="G103" s="242">
        <f>G97+G99-G101</f>
        <v>0</v>
      </c>
    </row>
    <row r="104" spans="1:7" ht="15" thickTop="1" x14ac:dyDescent="0.3">
      <c r="F104" s="16"/>
      <c r="G104" s="239">
        <f>G95-G103</f>
        <v>0</v>
      </c>
    </row>
    <row r="105" spans="1:7" x14ac:dyDescent="0.3">
      <c r="G105" s="239"/>
    </row>
    <row r="106" spans="1:7" x14ac:dyDescent="0.3">
      <c r="G106" s="239"/>
    </row>
    <row r="107" spans="1:7" x14ac:dyDescent="0.3">
      <c r="G107" s="239"/>
    </row>
    <row r="108" spans="1:7" x14ac:dyDescent="0.3">
      <c r="G108" s="239"/>
    </row>
    <row r="109" spans="1:7" x14ac:dyDescent="0.3">
      <c r="G109" s="239"/>
    </row>
    <row r="110" spans="1:7" x14ac:dyDescent="0.3">
      <c r="G110" s="239"/>
    </row>
    <row r="111" spans="1:7" hidden="1" x14ac:dyDescent="0.3">
      <c r="A111" s="286"/>
      <c r="B111" s="286"/>
      <c r="C111" s="286"/>
      <c r="D111" s="286"/>
      <c r="E111" s="286"/>
      <c r="F111" s="286"/>
      <c r="G111" s="239"/>
    </row>
    <row r="112" spans="1:7" hidden="1" x14ac:dyDescent="0.3">
      <c r="F112" s="16"/>
      <c r="G112" s="239"/>
    </row>
    <row r="113" spans="1:7" hidden="1" x14ac:dyDescent="0.3">
      <c r="G113" s="239"/>
    </row>
    <row r="114" spans="1:7" hidden="1" x14ac:dyDescent="0.3">
      <c r="F114" s="16"/>
      <c r="G114" s="239"/>
    </row>
    <row r="115" spans="1:7" ht="19.5" customHeight="1" x14ac:dyDescent="0.3">
      <c r="F115" s="118"/>
      <c r="G115" s="247" t="s">
        <v>12</v>
      </c>
    </row>
    <row r="116" spans="1:7" x14ac:dyDescent="0.3">
      <c r="F116" s="118"/>
      <c r="G116" s="247"/>
    </row>
    <row r="117" spans="1:7" ht="12.75" customHeight="1" x14ac:dyDescent="0.3">
      <c r="A117" s="117"/>
      <c r="B117" s="38" t="s">
        <v>436</v>
      </c>
      <c r="C117" s="38"/>
      <c r="D117" s="38"/>
      <c r="E117" s="38"/>
      <c r="F117" s="48"/>
      <c r="G117" s="239"/>
    </row>
    <row r="118" spans="1:7" ht="12.75" customHeight="1" x14ac:dyDescent="0.3">
      <c r="A118" s="117"/>
      <c r="B118" s="38"/>
      <c r="C118" s="38"/>
      <c r="D118" s="38"/>
      <c r="E118" s="38"/>
      <c r="F118" s="48"/>
      <c r="G118" s="239"/>
    </row>
    <row r="119" spans="1:7" ht="12.75" customHeight="1" x14ac:dyDescent="0.3">
      <c r="A119" s="117"/>
      <c r="B119" s="38"/>
      <c r="C119" s="38"/>
      <c r="D119" s="38"/>
      <c r="E119" s="38"/>
      <c r="F119" s="48"/>
      <c r="G119" s="239"/>
    </row>
    <row r="120" spans="1:7" x14ac:dyDescent="0.3">
      <c r="A120" t="s">
        <v>336</v>
      </c>
      <c r="F120" s="16"/>
      <c r="G120" s="239"/>
    </row>
    <row r="121" spans="1:7" x14ac:dyDescent="0.3">
      <c r="A121" t="s">
        <v>337</v>
      </c>
      <c r="B121" t="s">
        <v>419</v>
      </c>
      <c r="F121" s="16"/>
      <c r="G121" s="239"/>
    </row>
    <row r="122" spans="1:7" x14ac:dyDescent="0.3">
      <c r="B122" t="s">
        <v>340</v>
      </c>
      <c r="F122" s="16"/>
      <c r="G122" s="239"/>
    </row>
    <row r="123" spans="1:7" x14ac:dyDescent="0.3">
      <c r="G123" s="239"/>
    </row>
    <row r="124" spans="1:7" x14ac:dyDescent="0.3">
      <c r="G124" s="239"/>
    </row>
    <row r="125" spans="1:7" x14ac:dyDescent="0.3">
      <c r="F125" s="16"/>
      <c r="G125" s="239"/>
    </row>
    <row r="126" spans="1:7" x14ac:dyDescent="0.3">
      <c r="F126" s="16"/>
      <c r="G126" s="239"/>
    </row>
    <row r="127" spans="1:7" x14ac:dyDescent="0.3">
      <c r="A127" t="s">
        <v>29</v>
      </c>
      <c r="B127" t="s">
        <v>30</v>
      </c>
      <c r="E127" s="18" t="s">
        <v>347</v>
      </c>
      <c r="F127">
        <v>830</v>
      </c>
      <c r="G127" s="239"/>
    </row>
    <row r="128" spans="1:7" x14ac:dyDescent="0.3">
      <c r="E128" s="18" t="s">
        <v>348</v>
      </c>
      <c r="F128">
        <v>729</v>
      </c>
      <c r="G128" s="239"/>
    </row>
    <row r="129" spans="1:7" x14ac:dyDescent="0.3">
      <c r="E129" s="22"/>
      <c r="G129" s="239">
        <f>G125-G128-G127</f>
        <v>0</v>
      </c>
    </row>
    <row r="130" spans="1:7" x14ac:dyDescent="0.3">
      <c r="E130" s="22"/>
    </row>
    <row r="131" spans="1:7" x14ac:dyDescent="0.3">
      <c r="E131" s="22"/>
    </row>
    <row r="132" spans="1:7" x14ac:dyDescent="0.3">
      <c r="E132" s="22"/>
    </row>
    <row r="133" spans="1:7" x14ac:dyDescent="0.3">
      <c r="E133" s="22"/>
      <c r="F133" s="16"/>
    </row>
    <row r="134" spans="1:7" x14ac:dyDescent="0.3">
      <c r="E134" s="23"/>
      <c r="F134" s="16"/>
    </row>
    <row r="135" spans="1:7" x14ac:dyDescent="0.3">
      <c r="F135" s="16"/>
    </row>
    <row r="136" spans="1:7" x14ac:dyDescent="0.3">
      <c r="F136" s="16"/>
    </row>
    <row r="137" spans="1:7" x14ac:dyDescent="0.3">
      <c r="F137" s="16"/>
    </row>
    <row r="138" spans="1:7" ht="15" thickBot="1" x14ac:dyDescent="0.35">
      <c r="C138" t="s">
        <v>247</v>
      </c>
      <c r="F138" s="16"/>
      <c r="G138" s="228">
        <f>G125-G127-G128</f>
        <v>0</v>
      </c>
    </row>
    <row r="141" spans="1:7" x14ac:dyDescent="0.3">
      <c r="A141" s="15" t="s">
        <v>32</v>
      </c>
      <c r="F141" s="16"/>
    </row>
    <row r="142" spans="1:7" x14ac:dyDescent="0.3">
      <c r="B142" t="s">
        <v>33</v>
      </c>
      <c r="F142" s="16"/>
      <c r="G142" s="224">
        <f>'Receipts &amp; Payments Summary '!H34</f>
        <v>0</v>
      </c>
    </row>
    <row r="143" spans="1:7" x14ac:dyDescent="0.3">
      <c r="F143" s="16"/>
    </row>
    <row r="144" spans="1:7" x14ac:dyDescent="0.3">
      <c r="B144" t="s">
        <v>34</v>
      </c>
      <c r="F144" s="16"/>
    </row>
    <row r="145" spans="1:8" x14ac:dyDescent="0.3">
      <c r="F145" s="16"/>
      <c r="G145" s="224">
        <f>SUM(G142:G144)</f>
        <v>0</v>
      </c>
    </row>
    <row r="146" spans="1:8" x14ac:dyDescent="0.3">
      <c r="F146" s="16"/>
    </row>
    <row r="147" spans="1:8" x14ac:dyDescent="0.3">
      <c r="B147" t="s">
        <v>35</v>
      </c>
      <c r="F147" s="16"/>
      <c r="G147" s="224">
        <f>Payments!Z103</f>
        <v>0</v>
      </c>
    </row>
    <row r="148" spans="1:8" x14ac:dyDescent="0.3">
      <c r="F148" s="16"/>
    </row>
    <row r="149" spans="1:8" ht="15" thickBot="1" x14ac:dyDescent="0.35">
      <c r="B149" t="s">
        <v>36</v>
      </c>
      <c r="F149" s="16"/>
      <c r="G149" s="229"/>
      <c r="H149" s="16"/>
    </row>
    <row r="150" spans="1:8" ht="15" thickTop="1" x14ac:dyDescent="0.3">
      <c r="F150" s="16"/>
    </row>
    <row r="151" spans="1:8" x14ac:dyDescent="0.3">
      <c r="F151" s="16"/>
    </row>
    <row r="152" spans="1:8" x14ac:dyDescent="0.3">
      <c r="F152" s="16"/>
      <c r="H152" s="24"/>
    </row>
    <row r="153" spans="1:8" x14ac:dyDescent="0.3">
      <c r="A153" t="s">
        <v>338</v>
      </c>
    </row>
  </sheetData>
  <mergeCells count="2">
    <mergeCell ref="A1:F1"/>
    <mergeCell ref="A111:F111"/>
  </mergeCell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1F8D0-2ED8-4F58-8D76-460271100B82}">
  <dimension ref="A1:Z1009"/>
  <sheetViews>
    <sheetView zoomScale="92" zoomScaleNormal="92" workbookViewId="0">
      <pane ySplit="1" topLeftCell="A10" activePane="bottomLeft" state="frozen"/>
      <selection pane="bottomLeft" activeCell="C36" sqref="C36"/>
    </sheetView>
  </sheetViews>
  <sheetFormatPr defaultColWidth="12.5546875" defaultRowHeight="14.4" x14ac:dyDescent="0.3"/>
  <cols>
    <col min="1" max="1" width="50.88671875" customWidth="1"/>
    <col min="2" max="2" width="21" customWidth="1"/>
    <col min="3" max="6" width="23.88671875" customWidth="1"/>
    <col min="7" max="7" width="18.88671875" customWidth="1"/>
    <col min="8" max="8" width="20.6640625" customWidth="1"/>
    <col min="9" max="10" width="23.88671875" customWidth="1"/>
  </cols>
  <sheetData>
    <row r="1" spans="1:26" s="37" customFormat="1" ht="28.8" x14ac:dyDescent="0.3">
      <c r="A1" s="49" t="s">
        <v>93</v>
      </c>
      <c r="B1" s="50"/>
      <c r="C1" s="51" t="s">
        <v>94</v>
      </c>
      <c r="D1" s="51" t="s">
        <v>95</v>
      </c>
      <c r="E1" s="51" t="s">
        <v>96</v>
      </c>
      <c r="F1" s="51" t="s">
        <v>97</v>
      </c>
      <c r="G1" s="51" t="s">
        <v>98</v>
      </c>
      <c r="H1" s="51" t="s">
        <v>99</v>
      </c>
      <c r="I1" s="51" t="s">
        <v>100</v>
      </c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</row>
    <row r="2" spans="1:26" x14ac:dyDescent="0.3">
      <c r="A2" s="52"/>
      <c r="B2" s="52"/>
      <c r="C2" s="52"/>
      <c r="D2" s="52"/>
      <c r="E2" s="52"/>
      <c r="F2" s="52"/>
      <c r="G2" s="50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x14ac:dyDescent="0.3">
      <c r="A3" s="38" t="s">
        <v>101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x14ac:dyDescent="0.3">
      <c r="A4" s="52" t="s">
        <v>102</v>
      </c>
      <c r="B4" s="52">
        <v>30919.14</v>
      </c>
      <c r="C4" s="52"/>
      <c r="D4" s="52" t="s">
        <v>10</v>
      </c>
      <c r="E4" s="52"/>
      <c r="F4" s="52"/>
      <c r="G4" s="52"/>
      <c r="H4" s="52"/>
      <c r="I4" s="53" t="s">
        <v>10</v>
      </c>
      <c r="J4" s="52" t="s">
        <v>10</v>
      </c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3">
      <c r="A5" s="52" t="s">
        <v>103</v>
      </c>
      <c r="B5" s="52">
        <v>9416.5400000000009</v>
      </c>
      <c r="C5" s="52"/>
      <c r="D5" s="52"/>
      <c r="E5" s="54" t="s">
        <v>10</v>
      </c>
      <c r="F5" s="52"/>
      <c r="G5" s="52"/>
      <c r="H5" s="52"/>
      <c r="I5" s="53" t="s">
        <v>10</v>
      </c>
      <c r="J5" s="52" t="s">
        <v>10</v>
      </c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x14ac:dyDescent="0.3">
      <c r="A6" s="52" t="s">
        <v>104</v>
      </c>
      <c r="B6" s="52">
        <v>5351.76</v>
      </c>
      <c r="C6" s="52"/>
      <c r="D6" s="52"/>
      <c r="E6" s="54"/>
      <c r="F6" s="52"/>
      <c r="G6" s="52"/>
      <c r="H6" s="52"/>
      <c r="I6" s="53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18" x14ac:dyDescent="0.35">
      <c r="A7" s="55" t="s">
        <v>105</v>
      </c>
      <c r="B7" s="55">
        <f>SUM(B4:B5)-B6</f>
        <v>34983.919999999998</v>
      </c>
      <c r="C7" s="52"/>
      <c r="D7" s="52"/>
      <c r="E7" s="54"/>
      <c r="F7" s="52"/>
      <c r="G7" s="52"/>
      <c r="H7" s="52"/>
      <c r="I7" s="53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x14ac:dyDescent="0.3">
      <c r="A8" s="52"/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x14ac:dyDescent="0.3">
      <c r="A9" s="38" t="s">
        <v>106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x14ac:dyDescent="0.3">
      <c r="A10" s="52" t="s">
        <v>107</v>
      </c>
      <c r="B10" s="52"/>
      <c r="C10" s="52">
        <v>23000</v>
      </c>
      <c r="D10" s="52">
        <v>23000</v>
      </c>
      <c r="E10" s="53" t="s">
        <v>10</v>
      </c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x14ac:dyDescent="0.3">
      <c r="A11" s="52" t="s">
        <v>108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x14ac:dyDescent="0.3">
      <c r="A12" s="52" t="s">
        <v>109</v>
      </c>
      <c r="B12" s="52" t="s">
        <v>10</v>
      </c>
      <c r="C12" s="52">
        <v>978</v>
      </c>
      <c r="D12" s="52">
        <v>978</v>
      </c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x14ac:dyDescent="0.3">
      <c r="A13" s="38" t="s">
        <v>110</v>
      </c>
      <c r="B13" s="52"/>
      <c r="C13" s="52">
        <f>SUM(C10:C12)</f>
        <v>23978</v>
      </c>
      <c r="D13" s="52">
        <f>SUM(D10:D12)</f>
        <v>23978</v>
      </c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x14ac:dyDescent="0.3">
      <c r="A14" s="38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18" x14ac:dyDescent="0.35">
      <c r="A15" s="55" t="s">
        <v>111</v>
      </c>
      <c r="B15" s="55">
        <f>SUM(B7+C13)</f>
        <v>58961.919999999998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18" x14ac:dyDescent="0.35">
      <c r="A16" s="29" t="s">
        <v>112</v>
      </c>
      <c r="B16" s="29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x14ac:dyDescent="0.3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x14ac:dyDescent="0.3">
      <c r="A18" s="38" t="s">
        <v>113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x14ac:dyDescent="0.3">
      <c r="A19" s="38" t="s">
        <v>114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x14ac:dyDescent="0.3">
      <c r="A20" s="52" t="s">
        <v>115</v>
      </c>
      <c r="B20" s="52"/>
      <c r="C20" s="52"/>
      <c r="D20" s="52"/>
      <c r="E20" s="52">
        <v>9360</v>
      </c>
      <c r="F20" s="57" t="e">
        <f>Payments!Z13+Payments!Z15+Payments!#REF!+Payments!Z45+Payments!#REF!+Payments!#REF!</f>
        <v>#REF!</v>
      </c>
      <c r="G20" s="52">
        <v>2360</v>
      </c>
      <c r="H20" s="52" t="e">
        <f t="shared" ref="H20" si="0">SUM(E20-(F20+G20))</f>
        <v>#REF!</v>
      </c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x14ac:dyDescent="0.3">
      <c r="A21" s="52" t="s">
        <v>116</v>
      </c>
      <c r="B21" s="52"/>
      <c r="C21" s="52"/>
      <c r="D21" s="52"/>
      <c r="E21" s="52">
        <v>1500</v>
      </c>
      <c r="F21" s="57">
        <f>Payments!Z3+Payments!Z8+Payments!Z12+Payments!Z17+Payments!Z31</f>
        <v>2287.7439999999997</v>
      </c>
      <c r="G21" s="52">
        <v>36</v>
      </c>
      <c r="H21" s="52">
        <f>SUM(E21-(F21+G21))</f>
        <v>-823.74399999999969</v>
      </c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x14ac:dyDescent="0.3">
      <c r="A22" s="52" t="s">
        <v>117</v>
      </c>
      <c r="B22" s="52"/>
      <c r="C22" s="52"/>
      <c r="D22" s="52"/>
      <c r="E22" s="52">
        <v>1188</v>
      </c>
      <c r="F22" s="57" t="e">
        <f>Payments!Z16+Payments!Z32+Payments!Z46+Payments!#REF!+Payments!#REF!</f>
        <v>#REF!</v>
      </c>
      <c r="G22" s="52">
        <v>600</v>
      </c>
      <c r="H22" s="52" t="e">
        <f t="shared" ref="H22:H35" si="1">SUM(E22-(F22+G22))</f>
        <v>#REF!</v>
      </c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x14ac:dyDescent="0.3">
      <c r="A23" s="52" t="s">
        <v>118</v>
      </c>
      <c r="B23" s="52"/>
      <c r="C23" s="52"/>
      <c r="D23" s="52"/>
      <c r="E23" s="52">
        <v>31</v>
      </c>
      <c r="F23" s="52">
        <v>0</v>
      </c>
      <c r="G23" s="52">
        <v>0</v>
      </c>
      <c r="H23" s="52">
        <f t="shared" si="1"/>
        <v>31</v>
      </c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x14ac:dyDescent="0.3">
      <c r="A24" s="52" t="s">
        <v>119</v>
      </c>
      <c r="B24" s="52"/>
      <c r="C24" s="52"/>
      <c r="D24" s="52"/>
      <c r="E24" s="52">
        <v>280</v>
      </c>
      <c r="F24" s="57"/>
      <c r="G24" s="52">
        <v>0</v>
      </c>
      <c r="H24" s="52">
        <f t="shared" si="1"/>
        <v>280</v>
      </c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x14ac:dyDescent="0.3">
      <c r="A25" s="52" t="s">
        <v>120</v>
      </c>
      <c r="B25" s="52"/>
      <c r="C25" s="52"/>
      <c r="D25" s="52"/>
      <c r="E25" s="52">
        <v>350</v>
      </c>
      <c r="F25" s="57">
        <v>330</v>
      </c>
      <c r="G25" s="52">
        <v>0</v>
      </c>
      <c r="H25" s="52">
        <f t="shared" si="1"/>
        <v>20</v>
      </c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x14ac:dyDescent="0.3">
      <c r="A26" s="52" t="s">
        <v>121</v>
      </c>
      <c r="B26" s="52"/>
      <c r="C26" s="52"/>
      <c r="D26" s="52"/>
      <c r="E26" s="52">
        <v>200</v>
      </c>
      <c r="F26" s="52"/>
      <c r="G26" s="52">
        <v>0</v>
      </c>
      <c r="H26" s="52">
        <f t="shared" si="1"/>
        <v>200</v>
      </c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x14ac:dyDescent="0.3">
      <c r="A27" s="52" t="s">
        <v>122</v>
      </c>
      <c r="B27" s="52"/>
      <c r="C27" s="52"/>
      <c r="D27" s="52"/>
      <c r="E27" s="52">
        <v>50</v>
      </c>
      <c r="F27" s="57">
        <v>111.41</v>
      </c>
      <c r="G27" s="52">
        <v>0</v>
      </c>
      <c r="H27" s="52">
        <f t="shared" si="1"/>
        <v>-61.41</v>
      </c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x14ac:dyDescent="0.3">
      <c r="A28" s="52" t="s">
        <v>123</v>
      </c>
      <c r="B28" s="52"/>
      <c r="C28" s="52"/>
      <c r="D28" s="52"/>
      <c r="E28" s="52">
        <v>250</v>
      </c>
      <c r="F28" s="57">
        <f>Payments!Z36</f>
        <v>77.328000000000003</v>
      </c>
      <c r="G28" s="52">
        <v>80</v>
      </c>
      <c r="H28" s="52">
        <f t="shared" si="1"/>
        <v>92.671999999999997</v>
      </c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x14ac:dyDescent="0.3">
      <c r="A29" s="52" t="s">
        <v>124</v>
      </c>
      <c r="B29" s="52"/>
      <c r="C29" s="52"/>
      <c r="D29" s="52"/>
      <c r="E29" s="52">
        <v>0</v>
      </c>
      <c r="F29" s="52">
        <v>0</v>
      </c>
      <c r="G29" s="52">
        <v>120</v>
      </c>
      <c r="H29" s="52">
        <f t="shared" si="1"/>
        <v>-120</v>
      </c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x14ac:dyDescent="0.3">
      <c r="A30" s="52" t="s">
        <v>125</v>
      </c>
      <c r="B30" s="52"/>
      <c r="C30" s="52"/>
      <c r="D30" s="52"/>
      <c r="E30" s="52">
        <v>300</v>
      </c>
      <c r="F30" s="57">
        <f>Payments!Z6</f>
        <v>76.788000000000011</v>
      </c>
      <c r="G30" s="52">
        <v>66</v>
      </c>
      <c r="H30" s="52">
        <f t="shared" si="1"/>
        <v>157.21199999999999</v>
      </c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x14ac:dyDescent="0.3">
      <c r="A31" s="52" t="s">
        <v>126</v>
      </c>
      <c r="B31" s="52"/>
      <c r="C31" s="52"/>
      <c r="D31" s="52"/>
      <c r="E31" s="52">
        <v>1000</v>
      </c>
      <c r="F31" s="57">
        <f>Payments!Z10</f>
        <v>45.108000000000004</v>
      </c>
      <c r="G31" s="52">
        <v>0</v>
      </c>
      <c r="H31" s="52">
        <f t="shared" si="1"/>
        <v>954.89200000000005</v>
      </c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x14ac:dyDescent="0.3">
      <c r="A32" s="52" t="s">
        <v>127</v>
      </c>
      <c r="B32" s="52"/>
      <c r="C32" s="52">
        <f>+C45</f>
        <v>0</v>
      </c>
      <c r="D32" s="52"/>
      <c r="E32" s="52">
        <v>0</v>
      </c>
      <c r="F32" s="52">
        <v>0</v>
      </c>
      <c r="G32" s="52">
        <f t="shared" ref="G32:G33" si="2">SUM(E32-F32)</f>
        <v>0</v>
      </c>
      <c r="H32" s="52">
        <f t="shared" si="1"/>
        <v>0</v>
      </c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x14ac:dyDescent="0.3">
      <c r="A33" s="52" t="s">
        <v>128</v>
      </c>
      <c r="B33" s="52"/>
      <c r="C33" s="52"/>
      <c r="D33" s="52"/>
      <c r="E33" s="52">
        <v>80</v>
      </c>
      <c r="F33" s="52">
        <v>0</v>
      </c>
      <c r="G33" s="52">
        <f t="shared" si="2"/>
        <v>80</v>
      </c>
      <c r="H33" s="52">
        <f t="shared" si="1"/>
        <v>0</v>
      </c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x14ac:dyDescent="0.3">
      <c r="A34" s="52" t="s">
        <v>129</v>
      </c>
      <c r="B34" s="52"/>
      <c r="C34" s="52"/>
      <c r="D34" s="52"/>
      <c r="E34" s="52">
        <v>25</v>
      </c>
      <c r="F34" s="52">
        <v>0</v>
      </c>
      <c r="G34" s="52">
        <v>40</v>
      </c>
      <c r="H34" s="52">
        <f t="shared" si="1"/>
        <v>-15</v>
      </c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x14ac:dyDescent="0.3">
      <c r="A35" s="52" t="s">
        <v>130</v>
      </c>
      <c r="B35" s="52"/>
      <c r="C35" s="52"/>
      <c r="D35" s="52"/>
      <c r="E35" s="52">
        <v>200</v>
      </c>
      <c r="F35" s="52">
        <v>0</v>
      </c>
      <c r="G35" s="52">
        <v>200</v>
      </c>
      <c r="H35" s="52">
        <f t="shared" si="1"/>
        <v>0</v>
      </c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x14ac:dyDescent="0.3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x14ac:dyDescent="0.3">
      <c r="A37" s="38" t="s">
        <v>131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x14ac:dyDescent="0.3">
      <c r="A38" s="52" t="s">
        <v>132</v>
      </c>
      <c r="B38" s="52"/>
      <c r="C38" s="52"/>
      <c r="D38" s="52"/>
      <c r="E38" s="52">
        <v>240</v>
      </c>
      <c r="F38" s="57">
        <f>SUM(Payments!Z22:Z29)</f>
        <v>1057.5619999999999</v>
      </c>
      <c r="G38" s="52">
        <v>0</v>
      </c>
      <c r="H38" s="52">
        <f t="shared" ref="H38:H49" si="3">SUM(E38-(F38+G38))</f>
        <v>-817.5619999999999</v>
      </c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x14ac:dyDescent="0.3">
      <c r="A39" s="52" t="s">
        <v>133</v>
      </c>
      <c r="B39" s="52"/>
      <c r="C39" s="52"/>
      <c r="D39" s="52"/>
      <c r="E39" s="52">
        <v>350</v>
      </c>
      <c r="F39" s="57">
        <f>Payments!Z4</f>
        <v>180</v>
      </c>
      <c r="G39" s="52">
        <v>0</v>
      </c>
      <c r="H39" s="52">
        <f t="shared" si="3"/>
        <v>170</v>
      </c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x14ac:dyDescent="0.3">
      <c r="A40" s="52" t="s">
        <v>134</v>
      </c>
      <c r="B40" s="52"/>
      <c r="C40" s="52"/>
      <c r="D40" s="52"/>
      <c r="E40" s="52">
        <v>120</v>
      </c>
      <c r="F40" s="57">
        <f>Payments!Z34</f>
        <v>350</v>
      </c>
      <c r="G40" s="52">
        <v>0</v>
      </c>
      <c r="H40" s="52">
        <f t="shared" si="3"/>
        <v>-230</v>
      </c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x14ac:dyDescent="0.3">
      <c r="A41" s="52" t="s">
        <v>135</v>
      </c>
      <c r="B41" s="52"/>
      <c r="C41" s="52"/>
      <c r="D41" s="52"/>
      <c r="E41" s="52">
        <v>300</v>
      </c>
      <c r="F41" s="52">
        <v>0</v>
      </c>
      <c r="G41" s="52">
        <v>120</v>
      </c>
      <c r="H41" s="52">
        <f t="shared" si="3"/>
        <v>180</v>
      </c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x14ac:dyDescent="0.3">
      <c r="A42" s="52" t="s">
        <v>136</v>
      </c>
      <c r="B42" s="52"/>
      <c r="C42" s="52"/>
      <c r="D42" s="52"/>
      <c r="E42" s="52">
        <v>500</v>
      </c>
      <c r="F42" s="57" t="e">
        <f>Payments!#REF!</f>
        <v>#REF!</v>
      </c>
      <c r="G42" s="52">
        <v>150</v>
      </c>
      <c r="H42" s="52" t="e">
        <f t="shared" si="3"/>
        <v>#REF!</v>
      </c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x14ac:dyDescent="0.3">
      <c r="A43" s="52" t="s">
        <v>137</v>
      </c>
      <c r="B43" s="52"/>
      <c r="C43" s="52"/>
      <c r="D43" s="52"/>
      <c r="E43" s="52">
        <v>500</v>
      </c>
      <c r="F43" s="52">
        <v>0</v>
      </c>
      <c r="G43" s="52">
        <f t="shared" ref="G43:G49" si="4">SUM(E43-F43)</f>
        <v>500</v>
      </c>
      <c r="H43" s="52">
        <f t="shared" si="3"/>
        <v>0</v>
      </c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x14ac:dyDescent="0.3">
      <c r="A44" s="52" t="s">
        <v>138</v>
      </c>
      <c r="B44" s="52"/>
      <c r="C44" s="52"/>
      <c r="D44" s="52"/>
      <c r="E44" s="52">
        <v>500</v>
      </c>
      <c r="F44" s="52">
        <v>0</v>
      </c>
      <c r="G44" s="52">
        <f t="shared" si="4"/>
        <v>500</v>
      </c>
      <c r="H44" s="52">
        <f t="shared" si="3"/>
        <v>0</v>
      </c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x14ac:dyDescent="0.3">
      <c r="A45" s="52" t="s">
        <v>139</v>
      </c>
      <c r="B45" s="52"/>
      <c r="C45" s="52"/>
      <c r="D45" s="52"/>
      <c r="E45" s="52">
        <v>1000</v>
      </c>
      <c r="F45" s="52">
        <v>0</v>
      </c>
      <c r="G45" s="52">
        <v>0</v>
      </c>
      <c r="H45" s="52">
        <f t="shared" si="3"/>
        <v>1000</v>
      </c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x14ac:dyDescent="0.3">
      <c r="A46" s="52" t="s">
        <v>140</v>
      </c>
      <c r="B46" s="52"/>
      <c r="C46" s="52"/>
      <c r="D46" s="52"/>
      <c r="E46" s="52">
        <v>500</v>
      </c>
      <c r="F46" s="52">
        <v>0</v>
      </c>
      <c r="G46" s="52">
        <v>0</v>
      </c>
      <c r="H46" s="52">
        <f t="shared" si="3"/>
        <v>500</v>
      </c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x14ac:dyDescent="0.3">
      <c r="A47" s="52" t="s">
        <v>141</v>
      </c>
      <c r="B47" s="52"/>
      <c r="C47" s="52"/>
      <c r="D47" s="52"/>
      <c r="E47" s="52">
        <v>350</v>
      </c>
      <c r="F47" s="52">
        <v>0</v>
      </c>
      <c r="G47" s="52">
        <f t="shared" si="4"/>
        <v>350</v>
      </c>
      <c r="H47" s="52">
        <f t="shared" si="3"/>
        <v>0</v>
      </c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x14ac:dyDescent="0.3">
      <c r="A48" s="52" t="s">
        <v>11</v>
      </c>
      <c r="B48" s="52"/>
      <c r="C48" s="52"/>
      <c r="D48" s="52"/>
      <c r="E48" s="52">
        <v>500</v>
      </c>
      <c r="F48" s="57" t="e">
        <f>Payments!Z5+Payments!Z14+Payments!Z35+Payments!Z47+Payments!Z52+Payments!#REF!</f>
        <v>#REF!</v>
      </c>
      <c r="G48" s="52" t="e">
        <f t="shared" si="4"/>
        <v>#REF!</v>
      </c>
      <c r="H48" s="52" t="e">
        <f t="shared" si="3"/>
        <v>#REF!</v>
      </c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x14ac:dyDescent="0.3">
      <c r="A49" s="52" t="s">
        <v>142</v>
      </c>
      <c r="B49" s="52"/>
      <c r="C49" s="52"/>
      <c r="D49" s="52"/>
      <c r="E49" s="52">
        <v>76</v>
      </c>
      <c r="F49" s="57">
        <v>62.66</v>
      </c>
      <c r="G49" s="52">
        <f t="shared" si="4"/>
        <v>13.340000000000003</v>
      </c>
      <c r="H49" s="52">
        <f t="shared" si="3"/>
        <v>0</v>
      </c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x14ac:dyDescent="0.3">
      <c r="A50" t="s">
        <v>202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x14ac:dyDescent="0.3">
      <c r="A51" s="38" t="s">
        <v>143</v>
      </c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x14ac:dyDescent="0.3">
      <c r="A52" s="52" t="s">
        <v>14</v>
      </c>
      <c r="B52" s="52"/>
      <c r="C52" s="52"/>
      <c r="D52" s="52"/>
      <c r="E52" s="52">
        <v>750</v>
      </c>
      <c r="F52" s="57">
        <f>Payments!Z9</f>
        <v>29.89</v>
      </c>
      <c r="G52" s="52">
        <f>SUM(E52-F52)</f>
        <v>720.11</v>
      </c>
      <c r="H52" s="52">
        <f>SUM(E52-(F52+G52))</f>
        <v>0</v>
      </c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x14ac:dyDescent="0.3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x14ac:dyDescent="0.3">
      <c r="A54" s="38" t="s">
        <v>144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x14ac:dyDescent="0.3">
      <c r="A55" s="52" t="s">
        <v>145</v>
      </c>
      <c r="B55" s="52"/>
      <c r="C55" s="52"/>
      <c r="D55" s="52"/>
      <c r="E55" s="52">
        <v>30</v>
      </c>
      <c r="F55" s="52">
        <v>0</v>
      </c>
      <c r="G55" s="52">
        <v>160</v>
      </c>
      <c r="H55" s="52">
        <f>SUM(E55-(F55+G55))</f>
        <v>-130</v>
      </c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x14ac:dyDescent="0.3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x14ac:dyDescent="0.3">
      <c r="A57" s="38" t="s">
        <v>21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x14ac:dyDescent="0.3">
      <c r="A58" s="52" t="s">
        <v>13</v>
      </c>
      <c r="B58" s="52"/>
      <c r="C58" s="52"/>
      <c r="D58" s="52"/>
      <c r="E58" s="52">
        <v>150</v>
      </c>
      <c r="F58" s="57"/>
      <c r="G58" s="52">
        <f t="shared" ref="G58:G64" si="5">SUM(E58-F58)</f>
        <v>150</v>
      </c>
      <c r="H58" s="52">
        <f t="shared" ref="H58:H64" si="6">SUM(E58-(F58+G58))</f>
        <v>0</v>
      </c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x14ac:dyDescent="0.3">
      <c r="A59" s="52" t="s">
        <v>146</v>
      </c>
      <c r="B59" s="52"/>
      <c r="C59" s="52"/>
      <c r="D59" s="52"/>
      <c r="E59" s="52">
        <v>45</v>
      </c>
      <c r="F59" s="52">
        <v>0</v>
      </c>
      <c r="G59" s="52">
        <f t="shared" si="5"/>
        <v>45</v>
      </c>
      <c r="H59" s="52">
        <f t="shared" si="6"/>
        <v>0</v>
      </c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x14ac:dyDescent="0.3">
      <c r="A60" s="52" t="s">
        <v>147</v>
      </c>
      <c r="B60" s="52"/>
      <c r="C60" s="52"/>
      <c r="D60" s="52"/>
      <c r="E60" s="52">
        <v>15</v>
      </c>
      <c r="F60" s="52">
        <v>0</v>
      </c>
      <c r="G60" s="52">
        <v>0</v>
      </c>
      <c r="H60" s="52">
        <f t="shared" si="6"/>
        <v>15</v>
      </c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x14ac:dyDescent="0.3">
      <c r="A61" s="52" t="s">
        <v>148</v>
      </c>
      <c r="B61" s="52"/>
      <c r="C61" s="52"/>
      <c r="D61" s="52"/>
      <c r="E61" s="52">
        <v>55</v>
      </c>
      <c r="F61" s="52">
        <v>0</v>
      </c>
      <c r="G61" s="52">
        <v>0</v>
      </c>
      <c r="H61" s="52">
        <f t="shared" si="6"/>
        <v>55</v>
      </c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x14ac:dyDescent="0.3">
      <c r="A62" s="52" t="s">
        <v>149</v>
      </c>
      <c r="B62" s="52"/>
      <c r="C62" s="52"/>
      <c r="D62" s="52"/>
      <c r="E62" s="52">
        <v>100</v>
      </c>
      <c r="F62" s="52">
        <v>0</v>
      </c>
      <c r="G62" s="52">
        <v>0</v>
      </c>
      <c r="H62" s="52">
        <f t="shared" si="6"/>
        <v>100</v>
      </c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x14ac:dyDescent="0.3">
      <c r="A63" s="52" t="s">
        <v>150</v>
      </c>
      <c r="B63" s="52"/>
      <c r="C63" s="52"/>
      <c r="D63" s="52"/>
      <c r="E63" s="52">
        <v>36</v>
      </c>
      <c r="F63">
        <v>36</v>
      </c>
      <c r="G63" s="52">
        <f t="shared" si="5"/>
        <v>0</v>
      </c>
      <c r="H63" s="52">
        <f t="shared" si="6"/>
        <v>0</v>
      </c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x14ac:dyDescent="0.3">
      <c r="A64" s="52" t="s">
        <v>151</v>
      </c>
      <c r="B64" s="52"/>
      <c r="C64" s="52"/>
      <c r="D64" s="52"/>
      <c r="E64" s="52">
        <v>46</v>
      </c>
      <c r="F64" s="52">
        <v>0</v>
      </c>
      <c r="G64" s="52">
        <f t="shared" si="5"/>
        <v>46</v>
      </c>
      <c r="H64" s="52">
        <f t="shared" si="6"/>
        <v>0</v>
      </c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x14ac:dyDescent="0.3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x14ac:dyDescent="0.3">
      <c r="A66" s="38" t="s">
        <v>152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x14ac:dyDescent="0.3">
      <c r="A67" s="52" t="s">
        <v>153</v>
      </c>
      <c r="B67" s="52"/>
      <c r="C67" s="52"/>
      <c r="D67" s="52"/>
      <c r="E67" s="52">
        <v>500</v>
      </c>
      <c r="F67" s="57">
        <v>180</v>
      </c>
      <c r="G67" s="54">
        <v>0</v>
      </c>
      <c r="H67" s="52">
        <f t="shared" ref="H67:H72" si="7">SUM(E67-(F67+G67))</f>
        <v>320</v>
      </c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x14ac:dyDescent="0.3">
      <c r="A68" s="52" t="s">
        <v>154</v>
      </c>
      <c r="B68" s="52"/>
      <c r="C68" s="52"/>
      <c r="D68" s="52"/>
      <c r="E68" s="52">
        <v>30</v>
      </c>
      <c r="F68" s="52">
        <v>0</v>
      </c>
      <c r="G68" s="54">
        <v>0</v>
      </c>
      <c r="H68" s="52">
        <f t="shared" si="7"/>
        <v>30</v>
      </c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x14ac:dyDescent="0.3">
      <c r="A69" s="52" t="s">
        <v>155</v>
      </c>
      <c r="B69" s="52"/>
      <c r="C69" s="52"/>
      <c r="D69" s="52"/>
      <c r="E69" s="52">
        <v>100</v>
      </c>
      <c r="F69" s="52">
        <v>600</v>
      </c>
      <c r="G69" s="54">
        <v>0</v>
      </c>
      <c r="H69" s="52">
        <f t="shared" si="7"/>
        <v>-500</v>
      </c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x14ac:dyDescent="0.3">
      <c r="A70" s="52" t="s">
        <v>156</v>
      </c>
      <c r="B70" s="52"/>
      <c r="C70" s="52"/>
      <c r="D70" s="52"/>
      <c r="E70" s="52">
        <v>100</v>
      </c>
      <c r="F70" s="57" t="e">
        <f>Payments!#REF!</f>
        <v>#REF!</v>
      </c>
      <c r="G70" s="54">
        <v>0</v>
      </c>
      <c r="H70" s="52" t="e">
        <f t="shared" si="7"/>
        <v>#REF!</v>
      </c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x14ac:dyDescent="0.3">
      <c r="A71" s="52" t="s">
        <v>157</v>
      </c>
      <c r="B71" s="52"/>
      <c r="C71" s="52"/>
      <c r="D71" s="52"/>
      <c r="E71" s="52">
        <v>100</v>
      </c>
      <c r="F71" s="52">
        <v>0</v>
      </c>
      <c r="G71" s="54">
        <v>0</v>
      </c>
      <c r="H71" s="52">
        <f t="shared" si="7"/>
        <v>100</v>
      </c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x14ac:dyDescent="0.3">
      <c r="A72" s="52" t="s">
        <v>158</v>
      </c>
      <c r="B72" s="52"/>
      <c r="C72" s="52"/>
      <c r="D72" s="52"/>
      <c r="E72" s="52">
        <v>1000</v>
      </c>
      <c r="F72" s="52">
        <v>0</v>
      </c>
      <c r="G72" s="54">
        <v>0</v>
      </c>
      <c r="H72" s="52">
        <f t="shared" si="7"/>
        <v>1000</v>
      </c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x14ac:dyDescent="0.3">
      <c r="A73" t="s">
        <v>92</v>
      </c>
      <c r="B73" s="52"/>
      <c r="C73" s="52"/>
      <c r="D73" s="52"/>
      <c r="E73" s="52"/>
      <c r="F73" s="57">
        <v>57.87</v>
      </c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x14ac:dyDescent="0.3">
      <c r="A74" s="38" t="s">
        <v>159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x14ac:dyDescent="0.3">
      <c r="A75" s="52" t="s">
        <v>160</v>
      </c>
      <c r="B75" s="52"/>
      <c r="C75" s="52"/>
      <c r="D75" s="52"/>
      <c r="E75" s="52">
        <v>200</v>
      </c>
      <c r="F75" s="57" t="e">
        <f>Payments!#REF!</f>
        <v>#REF!</v>
      </c>
      <c r="G75" s="52">
        <v>0</v>
      </c>
      <c r="H75" s="52" t="e">
        <f t="shared" ref="H75:H76" si="8">SUM(E75-(F75+G75))</f>
        <v>#REF!</v>
      </c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x14ac:dyDescent="0.3">
      <c r="A76" s="52" t="s">
        <v>161</v>
      </c>
      <c r="B76" s="52"/>
      <c r="C76" s="52"/>
      <c r="D76" s="52"/>
      <c r="E76" s="52">
        <v>250</v>
      </c>
      <c r="F76" s="57" t="e">
        <f>Payments!#REF!</f>
        <v>#REF!</v>
      </c>
      <c r="G76" s="52">
        <v>0</v>
      </c>
      <c r="H76" s="52" t="e">
        <f t="shared" si="8"/>
        <v>#REF!</v>
      </c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x14ac:dyDescent="0.3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x14ac:dyDescent="0.3">
      <c r="A78" s="38" t="s">
        <v>162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x14ac:dyDescent="0.3">
      <c r="A79" s="52" t="s">
        <v>163</v>
      </c>
      <c r="B79" s="52"/>
      <c r="C79" s="52"/>
      <c r="D79" s="52"/>
      <c r="E79" s="52">
        <v>15000</v>
      </c>
      <c r="F79" s="52">
        <v>0</v>
      </c>
      <c r="G79" s="54">
        <v>0</v>
      </c>
      <c r="H79" s="52">
        <f t="shared" ref="H79:H83" si="9">SUM(E79-(F79+G79))</f>
        <v>15000</v>
      </c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x14ac:dyDescent="0.3">
      <c r="A80" s="52" t="s">
        <v>164</v>
      </c>
      <c r="B80" s="52"/>
      <c r="C80" s="52"/>
      <c r="D80" s="52"/>
      <c r="E80" s="52">
        <v>780</v>
      </c>
      <c r="F80" s="52">
        <v>0</v>
      </c>
      <c r="G80" s="54">
        <v>780</v>
      </c>
      <c r="H80" s="52">
        <f t="shared" si="9"/>
        <v>0</v>
      </c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x14ac:dyDescent="0.3">
      <c r="A81" s="52" t="s">
        <v>165</v>
      </c>
      <c r="B81" s="52"/>
      <c r="C81" s="52"/>
      <c r="D81" s="52"/>
      <c r="E81" s="52">
        <v>2000</v>
      </c>
      <c r="F81" s="57" t="e">
        <f>Payments!#REF!</f>
        <v>#REF!</v>
      </c>
      <c r="G81" s="62">
        <v>2358.66</v>
      </c>
      <c r="H81" s="52" t="e">
        <f t="shared" si="9"/>
        <v>#REF!</v>
      </c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x14ac:dyDescent="0.3">
      <c r="A82" s="52" t="s">
        <v>203</v>
      </c>
      <c r="B82" s="52"/>
      <c r="C82" s="52"/>
      <c r="D82" s="52"/>
      <c r="E82" s="52">
        <v>4680</v>
      </c>
      <c r="F82" s="52">
        <v>0</v>
      </c>
      <c r="G82" s="54">
        <v>4680</v>
      </c>
      <c r="H82" s="52">
        <f t="shared" si="9"/>
        <v>0</v>
      </c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x14ac:dyDescent="0.3">
      <c r="A83" s="52" t="s">
        <v>166</v>
      </c>
      <c r="B83" s="52"/>
      <c r="C83" s="52"/>
      <c r="D83" s="52"/>
      <c r="E83" s="52">
        <v>3252.27</v>
      </c>
      <c r="F83" s="52">
        <v>0</v>
      </c>
      <c r="G83" s="54">
        <v>0</v>
      </c>
      <c r="H83" s="52">
        <f t="shared" si="9"/>
        <v>3252.27</v>
      </c>
      <c r="I83" s="52" t="s">
        <v>222</v>
      </c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x14ac:dyDescent="0.3">
      <c r="A84" t="s">
        <v>204</v>
      </c>
      <c r="B84" s="52"/>
      <c r="C84" s="52"/>
      <c r="D84" s="52"/>
      <c r="E84">
        <v>2000</v>
      </c>
      <c r="F84" s="16" t="e">
        <f>SUM(Payments!Z54,Payments!#REF!,U63)</f>
        <v>#REF!</v>
      </c>
      <c r="G84" s="17">
        <v>0</v>
      </c>
      <c r="H84">
        <v>0</v>
      </c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x14ac:dyDescent="0.3">
      <c r="A85" s="38" t="s">
        <v>167</v>
      </c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x14ac:dyDescent="0.3">
      <c r="A86" s="52" t="s">
        <v>168</v>
      </c>
      <c r="B86" s="52"/>
      <c r="C86" s="52"/>
      <c r="D86" s="52"/>
      <c r="E86" s="52">
        <v>1000</v>
      </c>
      <c r="F86" s="52">
        <v>265</v>
      </c>
      <c r="G86" s="52">
        <v>0</v>
      </c>
      <c r="H86" s="52">
        <v>1000</v>
      </c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x14ac:dyDescent="0.3">
      <c r="A87" s="52" t="s">
        <v>114</v>
      </c>
      <c r="B87" s="52"/>
      <c r="C87" s="52"/>
      <c r="D87" s="52"/>
      <c r="E87" s="52">
        <v>1000</v>
      </c>
      <c r="F87" s="52">
        <v>0</v>
      </c>
      <c r="G87" s="52">
        <v>0</v>
      </c>
      <c r="H87" s="52">
        <v>1000</v>
      </c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x14ac:dyDescent="0.3">
      <c r="A88" s="52" t="s">
        <v>169</v>
      </c>
      <c r="B88" s="52"/>
      <c r="C88" s="52"/>
      <c r="D88" s="52"/>
      <c r="E88" s="52">
        <v>1000</v>
      </c>
      <c r="F88" s="52">
        <v>0</v>
      </c>
      <c r="G88" s="52">
        <v>0</v>
      </c>
      <c r="H88" s="52">
        <v>1000</v>
      </c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x14ac:dyDescent="0.3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x14ac:dyDescent="0.3">
      <c r="A90" s="38" t="s">
        <v>170</v>
      </c>
      <c r="B90" s="52"/>
      <c r="C90" s="52"/>
      <c r="D90" s="52"/>
      <c r="E90" s="52">
        <f>SUM(E20:E88)</f>
        <v>53969.27</v>
      </c>
      <c r="F90" s="52" t="e">
        <f>SUM(F20:F88)</f>
        <v>#REF!</v>
      </c>
      <c r="G90" s="52" t="e">
        <f>SUM(G20:G88)</f>
        <v>#REF!</v>
      </c>
      <c r="H90" s="52" t="e">
        <f>SUM(H20:H88)</f>
        <v>#REF!</v>
      </c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x14ac:dyDescent="0.3">
      <c r="A91" s="38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x14ac:dyDescent="0.3">
      <c r="A92" s="52"/>
      <c r="B92" s="52"/>
      <c r="C92" s="52"/>
      <c r="D92" s="38" t="s">
        <v>171</v>
      </c>
      <c r="E92" s="38" t="e">
        <f>SUM(F90:H90)</f>
        <v>#REF!</v>
      </c>
      <c r="F92" s="38" t="s">
        <v>172</v>
      </c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x14ac:dyDescent="0.3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x14ac:dyDescent="0.3">
      <c r="A94" s="38" t="s">
        <v>173</v>
      </c>
      <c r="B94" s="48">
        <f>SUM(Payments!Z3:'Payments'!Z4)</f>
        <v>218.66399999999999</v>
      </c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x14ac:dyDescent="0.3">
      <c r="A95" s="38" t="s">
        <v>174</v>
      </c>
      <c r="B95" s="48" t="e">
        <f>Payments!Z5+Payments!Z6+Payments!Z7+Payments!Z8+Payments!Z9+Payments!#REF!+Payments!Z10</f>
        <v>#REF!</v>
      </c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x14ac:dyDescent="0.3">
      <c r="A96" s="38" t="s">
        <v>175</v>
      </c>
      <c r="B96" s="48">
        <f>SUM(Payments!Z12:Z14)</f>
        <v>1109.4380000000001</v>
      </c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x14ac:dyDescent="0.3">
      <c r="A97" s="38" t="s">
        <v>176</v>
      </c>
      <c r="B97" s="61">
        <f>SUM(Payments!Z15:'Payments'!Z30)</f>
        <v>5148.253999999999</v>
      </c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x14ac:dyDescent="0.3">
      <c r="A98" s="38" t="s">
        <v>177</v>
      </c>
      <c r="B98" s="38">
        <v>0</v>
      </c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x14ac:dyDescent="0.3">
      <c r="A99" s="38" t="s">
        <v>178</v>
      </c>
      <c r="B99" s="48">
        <f>SUM(Payments!Z31:'Payments'!Z37)</f>
        <v>1416.9279999999999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x14ac:dyDescent="0.3">
      <c r="A100" s="52" t="s">
        <v>179</v>
      </c>
      <c r="B100" s="57">
        <f>SUM(Payments!Z45:'Payments'!Z51)</f>
        <v>6934.5999999999995</v>
      </c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x14ac:dyDescent="0.3">
      <c r="A101" s="52" t="s">
        <v>180</v>
      </c>
      <c r="B101" s="57" t="e">
        <f>SUM(Payments!Z52:Payments!#REF!)</f>
        <v>#REF!</v>
      </c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x14ac:dyDescent="0.3">
      <c r="A102" s="52" t="s">
        <v>181</v>
      </c>
      <c r="B102" s="57" t="e">
        <f>SUM(Payments!#REF!:Payments!#REF!)</f>
        <v>#REF!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x14ac:dyDescent="0.3">
      <c r="A103" s="52" t="s">
        <v>182</v>
      </c>
      <c r="B103" s="57" t="e">
        <f>SUM(Payments!#REF!)</f>
        <v>#REF!</v>
      </c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x14ac:dyDescent="0.3">
      <c r="A104" s="52" t="s">
        <v>183</v>
      </c>
      <c r="B104" s="57" t="e">
        <f>SUM(Payments!#REF!:Payments!#REF!)</f>
        <v>#REF!</v>
      </c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x14ac:dyDescent="0.3">
      <c r="A105" s="52" t="s">
        <v>184</v>
      </c>
      <c r="B105" s="57" t="e">
        <f>SUM(Payments!#REF!)</f>
        <v>#REF!</v>
      </c>
      <c r="C105" s="38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15.6" x14ac:dyDescent="0.3">
      <c r="A106" t="s">
        <v>198</v>
      </c>
      <c r="B106" s="57" t="e">
        <f>SUM(B94:B105)</f>
        <v>#REF!</v>
      </c>
      <c r="C106" s="57"/>
      <c r="D106" s="56" t="e">
        <f>F90</f>
        <v>#REF!</v>
      </c>
      <c r="E106" s="38" t="s">
        <v>199</v>
      </c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x14ac:dyDescent="0.3">
      <c r="A107" t="s">
        <v>197</v>
      </c>
      <c r="B107" s="57"/>
      <c r="C107" s="57" t="e">
        <f>D106-B106</f>
        <v>#REF!</v>
      </c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x14ac:dyDescent="0.3">
      <c r="A108" s="38" t="s">
        <v>230</v>
      </c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x14ac:dyDescent="0.3">
      <c r="A109" s="52" t="s">
        <v>186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x14ac:dyDescent="0.3">
      <c r="A110" s="52" t="s">
        <v>187</v>
      </c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x14ac:dyDescent="0.3">
      <c r="A111" s="52" t="s">
        <v>188</v>
      </c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x14ac:dyDescent="0.3">
      <c r="A112" s="52" t="s">
        <v>189</v>
      </c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x14ac:dyDescent="0.3">
      <c r="A113" s="52" t="s">
        <v>190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x14ac:dyDescent="0.3">
      <c r="A114" s="52" t="s">
        <v>191</v>
      </c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x14ac:dyDescent="0.3">
      <c r="A115" s="52" t="s">
        <v>192</v>
      </c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x14ac:dyDescent="0.3">
      <c r="A116" s="52" t="s">
        <v>193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x14ac:dyDescent="0.3">
      <c r="A117" s="52" t="s">
        <v>194</v>
      </c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x14ac:dyDescent="0.3">
      <c r="A118" s="52" t="s">
        <v>195</v>
      </c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x14ac:dyDescent="0.3">
      <c r="A119" s="52" t="s">
        <v>196</v>
      </c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x14ac:dyDescent="0.3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x14ac:dyDescent="0.3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x14ac:dyDescent="0.3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x14ac:dyDescent="0.3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x14ac:dyDescent="0.3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x14ac:dyDescent="0.3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x14ac:dyDescent="0.3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x14ac:dyDescent="0.3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x14ac:dyDescent="0.3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x14ac:dyDescent="0.3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x14ac:dyDescent="0.3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x14ac:dyDescent="0.3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x14ac:dyDescent="0.3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x14ac:dyDescent="0.3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x14ac:dyDescent="0.3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x14ac:dyDescent="0.3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x14ac:dyDescent="0.3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x14ac:dyDescent="0.3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x14ac:dyDescent="0.3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x14ac:dyDescent="0.3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x14ac:dyDescent="0.3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x14ac:dyDescent="0.3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x14ac:dyDescent="0.3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x14ac:dyDescent="0.3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x14ac:dyDescent="0.3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x14ac:dyDescent="0.3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x14ac:dyDescent="0.3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x14ac:dyDescent="0.3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x14ac:dyDescent="0.3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x14ac:dyDescent="0.3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x14ac:dyDescent="0.3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x14ac:dyDescent="0.3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x14ac:dyDescent="0.3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x14ac:dyDescent="0.3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x14ac:dyDescent="0.3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x14ac:dyDescent="0.3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x14ac:dyDescent="0.3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x14ac:dyDescent="0.3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x14ac:dyDescent="0.3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x14ac:dyDescent="0.3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x14ac:dyDescent="0.3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x14ac:dyDescent="0.3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x14ac:dyDescent="0.3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x14ac:dyDescent="0.3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x14ac:dyDescent="0.3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x14ac:dyDescent="0.3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x14ac:dyDescent="0.3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x14ac:dyDescent="0.3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x14ac:dyDescent="0.3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x14ac:dyDescent="0.3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x14ac:dyDescent="0.3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x14ac:dyDescent="0.3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x14ac:dyDescent="0.3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x14ac:dyDescent="0.3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x14ac:dyDescent="0.3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x14ac:dyDescent="0.3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x14ac:dyDescent="0.3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x14ac:dyDescent="0.3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x14ac:dyDescent="0.3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x14ac:dyDescent="0.3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x14ac:dyDescent="0.3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x14ac:dyDescent="0.3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x14ac:dyDescent="0.3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x14ac:dyDescent="0.3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x14ac:dyDescent="0.3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x14ac:dyDescent="0.3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x14ac:dyDescent="0.3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x14ac:dyDescent="0.3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x14ac:dyDescent="0.3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x14ac:dyDescent="0.3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x14ac:dyDescent="0.3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x14ac:dyDescent="0.3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x14ac:dyDescent="0.3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x14ac:dyDescent="0.3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x14ac:dyDescent="0.3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x14ac:dyDescent="0.3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x14ac:dyDescent="0.3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x14ac:dyDescent="0.3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x14ac:dyDescent="0.3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x14ac:dyDescent="0.3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x14ac:dyDescent="0.3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x14ac:dyDescent="0.3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x14ac:dyDescent="0.3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x14ac:dyDescent="0.3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x14ac:dyDescent="0.3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x14ac:dyDescent="0.3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x14ac:dyDescent="0.3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x14ac:dyDescent="0.3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x14ac:dyDescent="0.3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x14ac:dyDescent="0.3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x14ac:dyDescent="0.3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x14ac:dyDescent="0.3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x14ac:dyDescent="0.3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x14ac:dyDescent="0.3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x14ac:dyDescent="0.3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x14ac:dyDescent="0.3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x14ac:dyDescent="0.3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x14ac:dyDescent="0.3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x14ac:dyDescent="0.3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x14ac:dyDescent="0.3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x14ac:dyDescent="0.3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x14ac:dyDescent="0.3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x14ac:dyDescent="0.3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x14ac:dyDescent="0.3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x14ac:dyDescent="0.3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x14ac:dyDescent="0.3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x14ac:dyDescent="0.3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x14ac:dyDescent="0.3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x14ac:dyDescent="0.3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x14ac:dyDescent="0.3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x14ac:dyDescent="0.3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x14ac:dyDescent="0.3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x14ac:dyDescent="0.3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x14ac:dyDescent="0.3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x14ac:dyDescent="0.3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x14ac:dyDescent="0.3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x14ac:dyDescent="0.3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x14ac:dyDescent="0.3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x14ac:dyDescent="0.3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x14ac:dyDescent="0.3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x14ac:dyDescent="0.3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x14ac:dyDescent="0.3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x14ac:dyDescent="0.3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x14ac:dyDescent="0.3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x14ac:dyDescent="0.3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x14ac:dyDescent="0.3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x14ac:dyDescent="0.3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x14ac:dyDescent="0.3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x14ac:dyDescent="0.3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x14ac:dyDescent="0.3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x14ac:dyDescent="0.3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x14ac:dyDescent="0.3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x14ac:dyDescent="0.3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x14ac:dyDescent="0.3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x14ac:dyDescent="0.3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x14ac:dyDescent="0.3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x14ac:dyDescent="0.3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x14ac:dyDescent="0.3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x14ac:dyDescent="0.3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x14ac:dyDescent="0.3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x14ac:dyDescent="0.3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x14ac:dyDescent="0.3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x14ac:dyDescent="0.3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x14ac:dyDescent="0.3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x14ac:dyDescent="0.3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x14ac:dyDescent="0.3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x14ac:dyDescent="0.3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x14ac:dyDescent="0.3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x14ac:dyDescent="0.3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x14ac:dyDescent="0.3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x14ac:dyDescent="0.3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x14ac:dyDescent="0.3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x14ac:dyDescent="0.3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x14ac:dyDescent="0.3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x14ac:dyDescent="0.3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x14ac:dyDescent="0.3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x14ac:dyDescent="0.3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x14ac:dyDescent="0.3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x14ac:dyDescent="0.3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x14ac:dyDescent="0.3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x14ac:dyDescent="0.3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x14ac:dyDescent="0.3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x14ac:dyDescent="0.3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x14ac:dyDescent="0.3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x14ac:dyDescent="0.3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x14ac:dyDescent="0.3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x14ac:dyDescent="0.3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x14ac:dyDescent="0.3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x14ac:dyDescent="0.3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x14ac:dyDescent="0.3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x14ac:dyDescent="0.3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x14ac:dyDescent="0.3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x14ac:dyDescent="0.3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x14ac:dyDescent="0.3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x14ac:dyDescent="0.3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x14ac:dyDescent="0.3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x14ac:dyDescent="0.3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x14ac:dyDescent="0.3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x14ac:dyDescent="0.3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x14ac:dyDescent="0.3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x14ac:dyDescent="0.3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x14ac:dyDescent="0.3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x14ac:dyDescent="0.3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x14ac:dyDescent="0.3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x14ac:dyDescent="0.3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x14ac:dyDescent="0.3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x14ac:dyDescent="0.3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x14ac:dyDescent="0.3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x14ac:dyDescent="0.3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x14ac:dyDescent="0.3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x14ac:dyDescent="0.3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x14ac:dyDescent="0.3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x14ac:dyDescent="0.3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x14ac:dyDescent="0.3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x14ac:dyDescent="0.3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x14ac:dyDescent="0.3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x14ac:dyDescent="0.3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x14ac:dyDescent="0.3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x14ac:dyDescent="0.3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x14ac:dyDescent="0.3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x14ac:dyDescent="0.3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x14ac:dyDescent="0.3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x14ac:dyDescent="0.3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x14ac:dyDescent="0.3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x14ac:dyDescent="0.3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x14ac:dyDescent="0.3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x14ac:dyDescent="0.3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x14ac:dyDescent="0.3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x14ac:dyDescent="0.3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x14ac:dyDescent="0.3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x14ac:dyDescent="0.3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x14ac:dyDescent="0.3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x14ac:dyDescent="0.3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x14ac:dyDescent="0.3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x14ac:dyDescent="0.3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x14ac:dyDescent="0.3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x14ac:dyDescent="0.3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x14ac:dyDescent="0.3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x14ac:dyDescent="0.3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x14ac:dyDescent="0.3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x14ac:dyDescent="0.3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x14ac:dyDescent="0.3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x14ac:dyDescent="0.3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x14ac:dyDescent="0.3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x14ac:dyDescent="0.3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x14ac:dyDescent="0.3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x14ac:dyDescent="0.3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x14ac:dyDescent="0.3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x14ac:dyDescent="0.3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x14ac:dyDescent="0.3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x14ac:dyDescent="0.3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x14ac:dyDescent="0.3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x14ac:dyDescent="0.3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x14ac:dyDescent="0.3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x14ac:dyDescent="0.3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x14ac:dyDescent="0.3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x14ac:dyDescent="0.3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x14ac:dyDescent="0.3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x14ac:dyDescent="0.3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x14ac:dyDescent="0.3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x14ac:dyDescent="0.3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x14ac:dyDescent="0.3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x14ac:dyDescent="0.3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x14ac:dyDescent="0.3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x14ac:dyDescent="0.3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x14ac:dyDescent="0.3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x14ac:dyDescent="0.3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x14ac:dyDescent="0.3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x14ac:dyDescent="0.3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x14ac:dyDescent="0.3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x14ac:dyDescent="0.3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x14ac:dyDescent="0.3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x14ac:dyDescent="0.3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x14ac:dyDescent="0.3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x14ac:dyDescent="0.3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x14ac:dyDescent="0.3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x14ac:dyDescent="0.3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x14ac:dyDescent="0.3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x14ac:dyDescent="0.3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x14ac:dyDescent="0.3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x14ac:dyDescent="0.3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x14ac:dyDescent="0.3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x14ac:dyDescent="0.3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x14ac:dyDescent="0.3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x14ac:dyDescent="0.3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x14ac:dyDescent="0.3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x14ac:dyDescent="0.3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x14ac:dyDescent="0.3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x14ac:dyDescent="0.3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x14ac:dyDescent="0.3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x14ac:dyDescent="0.3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x14ac:dyDescent="0.3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x14ac:dyDescent="0.3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x14ac:dyDescent="0.3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x14ac:dyDescent="0.3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x14ac:dyDescent="0.3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x14ac:dyDescent="0.3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x14ac:dyDescent="0.3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x14ac:dyDescent="0.3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x14ac:dyDescent="0.3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x14ac:dyDescent="0.3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x14ac:dyDescent="0.3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x14ac:dyDescent="0.3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x14ac:dyDescent="0.3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x14ac:dyDescent="0.3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x14ac:dyDescent="0.3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x14ac:dyDescent="0.3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x14ac:dyDescent="0.3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x14ac:dyDescent="0.3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x14ac:dyDescent="0.3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x14ac:dyDescent="0.3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x14ac:dyDescent="0.3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x14ac:dyDescent="0.3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x14ac:dyDescent="0.3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x14ac:dyDescent="0.3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x14ac:dyDescent="0.3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x14ac:dyDescent="0.3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x14ac:dyDescent="0.3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x14ac:dyDescent="0.3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x14ac:dyDescent="0.3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x14ac:dyDescent="0.3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x14ac:dyDescent="0.3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x14ac:dyDescent="0.3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x14ac:dyDescent="0.3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x14ac:dyDescent="0.3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x14ac:dyDescent="0.3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x14ac:dyDescent="0.3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x14ac:dyDescent="0.3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x14ac:dyDescent="0.3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x14ac:dyDescent="0.3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x14ac:dyDescent="0.3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x14ac:dyDescent="0.3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x14ac:dyDescent="0.3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x14ac:dyDescent="0.3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x14ac:dyDescent="0.3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x14ac:dyDescent="0.3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x14ac:dyDescent="0.3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x14ac:dyDescent="0.3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x14ac:dyDescent="0.3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x14ac:dyDescent="0.3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x14ac:dyDescent="0.3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x14ac:dyDescent="0.3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x14ac:dyDescent="0.3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x14ac:dyDescent="0.3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x14ac:dyDescent="0.3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x14ac:dyDescent="0.3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x14ac:dyDescent="0.3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x14ac:dyDescent="0.3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x14ac:dyDescent="0.3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x14ac:dyDescent="0.3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x14ac:dyDescent="0.3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x14ac:dyDescent="0.3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x14ac:dyDescent="0.3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x14ac:dyDescent="0.3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x14ac:dyDescent="0.3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x14ac:dyDescent="0.3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x14ac:dyDescent="0.3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x14ac:dyDescent="0.3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x14ac:dyDescent="0.3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x14ac:dyDescent="0.3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x14ac:dyDescent="0.3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x14ac:dyDescent="0.3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x14ac:dyDescent="0.3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x14ac:dyDescent="0.3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x14ac:dyDescent="0.3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x14ac:dyDescent="0.3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x14ac:dyDescent="0.3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x14ac:dyDescent="0.3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x14ac:dyDescent="0.3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x14ac:dyDescent="0.3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x14ac:dyDescent="0.3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x14ac:dyDescent="0.3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x14ac:dyDescent="0.3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x14ac:dyDescent="0.3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x14ac:dyDescent="0.3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x14ac:dyDescent="0.3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x14ac:dyDescent="0.3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x14ac:dyDescent="0.3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x14ac:dyDescent="0.3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x14ac:dyDescent="0.3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x14ac:dyDescent="0.3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x14ac:dyDescent="0.3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x14ac:dyDescent="0.3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x14ac:dyDescent="0.3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x14ac:dyDescent="0.3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x14ac:dyDescent="0.3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x14ac:dyDescent="0.3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x14ac:dyDescent="0.3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x14ac:dyDescent="0.3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x14ac:dyDescent="0.3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x14ac:dyDescent="0.3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x14ac:dyDescent="0.3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x14ac:dyDescent="0.3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x14ac:dyDescent="0.3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x14ac:dyDescent="0.3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x14ac:dyDescent="0.3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x14ac:dyDescent="0.3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x14ac:dyDescent="0.3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x14ac:dyDescent="0.3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x14ac:dyDescent="0.3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x14ac:dyDescent="0.3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x14ac:dyDescent="0.3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x14ac:dyDescent="0.3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x14ac:dyDescent="0.3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x14ac:dyDescent="0.3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x14ac:dyDescent="0.3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x14ac:dyDescent="0.3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x14ac:dyDescent="0.3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x14ac:dyDescent="0.3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x14ac:dyDescent="0.3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x14ac:dyDescent="0.3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x14ac:dyDescent="0.3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x14ac:dyDescent="0.3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x14ac:dyDescent="0.3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x14ac:dyDescent="0.3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x14ac:dyDescent="0.3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x14ac:dyDescent="0.3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x14ac:dyDescent="0.3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x14ac:dyDescent="0.3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x14ac:dyDescent="0.3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x14ac:dyDescent="0.3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x14ac:dyDescent="0.3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x14ac:dyDescent="0.3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x14ac:dyDescent="0.3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x14ac:dyDescent="0.3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x14ac:dyDescent="0.3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x14ac:dyDescent="0.3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x14ac:dyDescent="0.3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x14ac:dyDescent="0.3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x14ac:dyDescent="0.3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x14ac:dyDescent="0.3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x14ac:dyDescent="0.3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x14ac:dyDescent="0.3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x14ac:dyDescent="0.3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x14ac:dyDescent="0.3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x14ac:dyDescent="0.3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x14ac:dyDescent="0.3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x14ac:dyDescent="0.3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x14ac:dyDescent="0.3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x14ac:dyDescent="0.3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x14ac:dyDescent="0.3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x14ac:dyDescent="0.3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x14ac:dyDescent="0.3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x14ac:dyDescent="0.3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x14ac:dyDescent="0.3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x14ac:dyDescent="0.3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x14ac:dyDescent="0.3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x14ac:dyDescent="0.3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x14ac:dyDescent="0.3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x14ac:dyDescent="0.3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x14ac:dyDescent="0.3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x14ac:dyDescent="0.3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x14ac:dyDescent="0.3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x14ac:dyDescent="0.3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x14ac:dyDescent="0.3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x14ac:dyDescent="0.3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x14ac:dyDescent="0.3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x14ac:dyDescent="0.3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x14ac:dyDescent="0.3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x14ac:dyDescent="0.3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x14ac:dyDescent="0.3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x14ac:dyDescent="0.3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x14ac:dyDescent="0.3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x14ac:dyDescent="0.3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x14ac:dyDescent="0.3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x14ac:dyDescent="0.3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x14ac:dyDescent="0.3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x14ac:dyDescent="0.3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x14ac:dyDescent="0.3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x14ac:dyDescent="0.3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x14ac:dyDescent="0.3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x14ac:dyDescent="0.3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x14ac:dyDescent="0.3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x14ac:dyDescent="0.3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x14ac:dyDescent="0.3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x14ac:dyDescent="0.3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x14ac:dyDescent="0.3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x14ac:dyDescent="0.3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x14ac:dyDescent="0.3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x14ac:dyDescent="0.3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x14ac:dyDescent="0.3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x14ac:dyDescent="0.3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x14ac:dyDescent="0.3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x14ac:dyDescent="0.3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x14ac:dyDescent="0.3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x14ac:dyDescent="0.3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x14ac:dyDescent="0.3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x14ac:dyDescent="0.3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x14ac:dyDescent="0.3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x14ac:dyDescent="0.3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x14ac:dyDescent="0.3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x14ac:dyDescent="0.3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x14ac:dyDescent="0.3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x14ac:dyDescent="0.3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x14ac:dyDescent="0.3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x14ac:dyDescent="0.3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x14ac:dyDescent="0.3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x14ac:dyDescent="0.3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x14ac:dyDescent="0.3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x14ac:dyDescent="0.3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x14ac:dyDescent="0.3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x14ac:dyDescent="0.3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x14ac:dyDescent="0.3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x14ac:dyDescent="0.3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x14ac:dyDescent="0.3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x14ac:dyDescent="0.3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x14ac:dyDescent="0.3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x14ac:dyDescent="0.3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x14ac:dyDescent="0.3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x14ac:dyDescent="0.3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x14ac:dyDescent="0.3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x14ac:dyDescent="0.3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x14ac:dyDescent="0.3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x14ac:dyDescent="0.3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x14ac:dyDescent="0.3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x14ac:dyDescent="0.3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x14ac:dyDescent="0.3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x14ac:dyDescent="0.3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x14ac:dyDescent="0.3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x14ac:dyDescent="0.3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x14ac:dyDescent="0.3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x14ac:dyDescent="0.3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x14ac:dyDescent="0.3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x14ac:dyDescent="0.3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x14ac:dyDescent="0.3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x14ac:dyDescent="0.3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x14ac:dyDescent="0.3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x14ac:dyDescent="0.3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x14ac:dyDescent="0.3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x14ac:dyDescent="0.3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x14ac:dyDescent="0.3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x14ac:dyDescent="0.3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x14ac:dyDescent="0.3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x14ac:dyDescent="0.3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x14ac:dyDescent="0.3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x14ac:dyDescent="0.3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x14ac:dyDescent="0.3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x14ac:dyDescent="0.3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x14ac:dyDescent="0.3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x14ac:dyDescent="0.3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x14ac:dyDescent="0.3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x14ac:dyDescent="0.3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x14ac:dyDescent="0.3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x14ac:dyDescent="0.3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x14ac:dyDescent="0.3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x14ac:dyDescent="0.3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x14ac:dyDescent="0.3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x14ac:dyDescent="0.3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x14ac:dyDescent="0.3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x14ac:dyDescent="0.3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x14ac:dyDescent="0.3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x14ac:dyDescent="0.3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x14ac:dyDescent="0.3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x14ac:dyDescent="0.3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x14ac:dyDescent="0.3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x14ac:dyDescent="0.3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x14ac:dyDescent="0.3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x14ac:dyDescent="0.3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x14ac:dyDescent="0.3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x14ac:dyDescent="0.3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x14ac:dyDescent="0.3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x14ac:dyDescent="0.3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x14ac:dyDescent="0.3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x14ac:dyDescent="0.3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x14ac:dyDescent="0.3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x14ac:dyDescent="0.3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x14ac:dyDescent="0.3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x14ac:dyDescent="0.3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x14ac:dyDescent="0.3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x14ac:dyDescent="0.3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x14ac:dyDescent="0.3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x14ac:dyDescent="0.3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x14ac:dyDescent="0.3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x14ac:dyDescent="0.3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x14ac:dyDescent="0.3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x14ac:dyDescent="0.3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x14ac:dyDescent="0.3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x14ac:dyDescent="0.3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x14ac:dyDescent="0.3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x14ac:dyDescent="0.3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x14ac:dyDescent="0.3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x14ac:dyDescent="0.3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x14ac:dyDescent="0.3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x14ac:dyDescent="0.3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x14ac:dyDescent="0.3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x14ac:dyDescent="0.3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x14ac:dyDescent="0.3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x14ac:dyDescent="0.3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x14ac:dyDescent="0.3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x14ac:dyDescent="0.3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x14ac:dyDescent="0.3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x14ac:dyDescent="0.3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x14ac:dyDescent="0.3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x14ac:dyDescent="0.3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x14ac:dyDescent="0.3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x14ac:dyDescent="0.3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x14ac:dyDescent="0.3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x14ac:dyDescent="0.3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x14ac:dyDescent="0.3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x14ac:dyDescent="0.3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x14ac:dyDescent="0.3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x14ac:dyDescent="0.3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x14ac:dyDescent="0.3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x14ac:dyDescent="0.3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x14ac:dyDescent="0.3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x14ac:dyDescent="0.3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x14ac:dyDescent="0.3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x14ac:dyDescent="0.3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x14ac:dyDescent="0.3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x14ac:dyDescent="0.3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x14ac:dyDescent="0.3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x14ac:dyDescent="0.3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x14ac:dyDescent="0.3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x14ac:dyDescent="0.3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x14ac:dyDescent="0.3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x14ac:dyDescent="0.3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x14ac:dyDescent="0.3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x14ac:dyDescent="0.3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x14ac:dyDescent="0.3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x14ac:dyDescent="0.3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x14ac:dyDescent="0.3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x14ac:dyDescent="0.3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x14ac:dyDescent="0.3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x14ac:dyDescent="0.3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x14ac:dyDescent="0.3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x14ac:dyDescent="0.3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x14ac:dyDescent="0.3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x14ac:dyDescent="0.3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x14ac:dyDescent="0.3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x14ac:dyDescent="0.3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x14ac:dyDescent="0.3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x14ac:dyDescent="0.3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x14ac:dyDescent="0.3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x14ac:dyDescent="0.3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x14ac:dyDescent="0.3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x14ac:dyDescent="0.3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x14ac:dyDescent="0.3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x14ac:dyDescent="0.3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x14ac:dyDescent="0.3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x14ac:dyDescent="0.3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x14ac:dyDescent="0.3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x14ac:dyDescent="0.3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x14ac:dyDescent="0.3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x14ac:dyDescent="0.3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x14ac:dyDescent="0.3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x14ac:dyDescent="0.3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x14ac:dyDescent="0.3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x14ac:dyDescent="0.3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x14ac:dyDescent="0.3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x14ac:dyDescent="0.3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x14ac:dyDescent="0.3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x14ac:dyDescent="0.3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x14ac:dyDescent="0.3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x14ac:dyDescent="0.3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x14ac:dyDescent="0.3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x14ac:dyDescent="0.3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x14ac:dyDescent="0.3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x14ac:dyDescent="0.3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x14ac:dyDescent="0.3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x14ac:dyDescent="0.3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x14ac:dyDescent="0.3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x14ac:dyDescent="0.3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x14ac:dyDescent="0.3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x14ac:dyDescent="0.3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x14ac:dyDescent="0.3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x14ac:dyDescent="0.3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x14ac:dyDescent="0.3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x14ac:dyDescent="0.3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x14ac:dyDescent="0.3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x14ac:dyDescent="0.3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x14ac:dyDescent="0.3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x14ac:dyDescent="0.3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x14ac:dyDescent="0.3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x14ac:dyDescent="0.3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x14ac:dyDescent="0.3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x14ac:dyDescent="0.3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x14ac:dyDescent="0.3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x14ac:dyDescent="0.3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x14ac:dyDescent="0.3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x14ac:dyDescent="0.3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x14ac:dyDescent="0.3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x14ac:dyDescent="0.3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x14ac:dyDescent="0.3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x14ac:dyDescent="0.3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x14ac:dyDescent="0.3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x14ac:dyDescent="0.3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x14ac:dyDescent="0.3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x14ac:dyDescent="0.3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x14ac:dyDescent="0.3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x14ac:dyDescent="0.3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x14ac:dyDescent="0.3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x14ac:dyDescent="0.3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x14ac:dyDescent="0.3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x14ac:dyDescent="0.3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x14ac:dyDescent="0.3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x14ac:dyDescent="0.3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x14ac:dyDescent="0.3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x14ac:dyDescent="0.3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x14ac:dyDescent="0.3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x14ac:dyDescent="0.3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x14ac:dyDescent="0.3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x14ac:dyDescent="0.3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x14ac:dyDescent="0.3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x14ac:dyDescent="0.3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x14ac:dyDescent="0.3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x14ac:dyDescent="0.3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x14ac:dyDescent="0.3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x14ac:dyDescent="0.3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x14ac:dyDescent="0.3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x14ac:dyDescent="0.3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x14ac:dyDescent="0.3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x14ac:dyDescent="0.3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x14ac:dyDescent="0.3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x14ac:dyDescent="0.3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x14ac:dyDescent="0.3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x14ac:dyDescent="0.3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x14ac:dyDescent="0.3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x14ac:dyDescent="0.3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x14ac:dyDescent="0.3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x14ac:dyDescent="0.3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x14ac:dyDescent="0.3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x14ac:dyDescent="0.3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x14ac:dyDescent="0.3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x14ac:dyDescent="0.3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x14ac:dyDescent="0.3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x14ac:dyDescent="0.3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x14ac:dyDescent="0.3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x14ac:dyDescent="0.3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x14ac:dyDescent="0.3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x14ac:dyDescent="0.3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x14ac:dyDescent="0.3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x14ac:dyDescent="0.3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x14ac:dyDescent="0.3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x14ac:dyDescent="0.3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x14ac:dyDescent="0.3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x14ac:dyDescent="0.3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x14ac:dyDescent="0.3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x14ac:dyDescent="0.3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x14ac:dyDescent="0.3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x14ac:dyDescent="0.3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x14ac:dyDescent="0.3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x14ac:dyDescent="0.3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x14ac:dyDescent="0.3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x14ac:dyDescent="0.3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x14ac:dyDescent="0.3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x14ac:dyDescent="0.3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x14ac:dyDescent="0.3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x14ac:dyDescent="0.3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x14ac:dyDescent="0.3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x14ac:dyDescent="0.3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x14ac:dyDescent="0.3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x14ac:dyDescent="0.3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x14ac:dyDescent="0.3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x14ac:dyDescent="0.3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x14ac:dyDescent="0.3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x14ac:dyDescent="0.3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x14ac:dyDescent="0.3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x14ac:dyDescent="0.3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x14ac:dyDescent="0.3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x14ac:dyDescent="0.3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x14ac:dyDescent="0.3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x14ac:dyDescent="0.3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x14ac:dyDescent="0.3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x14ac:dyDescent="0.3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x14ac:dyDescent="0.3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x14ac:dyDescent="0.3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x14ac:dyDescent="0.3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x14ac:dyDescent="0.3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x14ac:dyDescent="0.3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x14ac:dyDescent="0.3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x14ac:dyDescent="0.3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x14ac:dyDescent="0.3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x14ac:dyDescent="0.3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x14ac:dyDescent="0.3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x14ac:dyDescent="0.3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x14ac:dyDescent="0.3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x14ac:dyDescent="0.3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x14ac:dyDescent="0.3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x14ac:dyDescent="0.3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x14ac:dyDescent="0.3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x14ac:dyDescent="0.3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x14ac:dyDescent="0.3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x14ac:dyDescent="0.3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x14ac:dyDescent="0.3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x14ac:dyDescent="0.3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x14ac:dyDescent="0.3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x14ac:dyDescent="0.3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x14ac:dyDescent="0.3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x14ac:dyDescent="0.3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x14ac:dyDescent="0.3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x14ac:dyDescent="0.3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x14ac:dyDescent="0.3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x14ac:dyDescent="0.3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x14ac:dyDescent="0.3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x14ac:dyDescent="0.3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x14ac:dyDescent="0.3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x14ac:dyDescent="0.3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x14ac:dyDescent="0.3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x14ac:dyDescent="0.3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x14ac:dyDescent="0.3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x14ac:dyDescent="0.3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x14ac:dyDescent="0.3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x14ac:dyDescent="0.3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x14ac:dyDescent="0.3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x14ac:dyDescent="0.3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x14ac:dyDescent="0.3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x14ac:dyDescent="0.3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x14ac:dyDescent="0.3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x14ac:dyDescent="0.3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x14ac:dyDescent="0.3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x14ac:dyDescent="0.3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x14ac:dyDescent="0.3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x14ac:dyDescent="0.3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x14ac:dyDescent="0.3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x14ac:dyDescent="0.3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x14ac:dyDescent="0.3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x14ac:dyDescent="0.3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x14ac:dyDescent="0.3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x14ac:dyDescent="0.3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x14ac:dyDescent="0.3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x14ac:dyDescent="0.3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x14ac:dyDescent="0.3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x14ac:dyDescent="0.3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x14ac:dyDescent="0.3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x14ac:dyDescent="0.3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x14ac:dyDescent="0.3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x14ac:dyDescent="0.3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x14ac:dyDescent="0.3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x14ac:dyDescent="0.3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x14ac:dyDescent="0.3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x14ac:dyDescent="0.3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x14ac:dyDescent="0.3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x14ac:dyDescent="0.3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x14ac:dyDescent="0.3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x14ac:dyDescent="0.3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x14ac:dyDescent="0.3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x14ac:dyDescent="0.3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x14ac:dyDescent="0.3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x14ac:dyDescent="0.3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x14ac:dyDescent="0.3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x14ac:dyDescent="0.3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x14ac:dyDescent="0.3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x14ac:dyDescent="0.3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x14ac:dyDescent="0.3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x14ac:dyDescent="0.3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x14ac:dyDescent="0.3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x14ac:dyDescent="0.3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x14ac:dyDescent="0.3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x14ac:dyDescent="0.3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x14ac:dyDescent="0.3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x14ac:dyDescent="0.3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x14ac:dyDescent="0.3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x14ac:dyDescent="0.3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x14ac:dyDescent="0.3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x14ac:dyDescent="0.3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x14ac:dyDescent="0.3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x14ac:dyDescent="0.3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x14ac:dyDescent="0.3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x14ac:dyDescent="0.3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x14ac:dyDescent="0.3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x14ac:dyDescent="0.3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x14ac:dyDescent="0.3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x14ac:dyDescent="0.3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x14ac:dyDescent="0.3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x14ac:dyDescent="0.3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x14ac:dyDescent="0.3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x14ac:dyDescent="0.3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x14ac:dyDescent="0.3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x14ac:dyDescent="0.3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x14ac:dyDescent="0.3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x14ac:dyDescent="0.3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x14ac:dyDescent="0.3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x14ac:dyDescent="0.3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x14ac:dyDescent="0.3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x14ac:dyDescent="0.3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x14ac:dyDescent="0.3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x14ac:dyDescent="0.3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x14ac:dyDescent="0.3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x14ac:dyDescent="0.3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x14ac:dyDescent="0.3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x14ac:dyDescent="0.3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x14ac:dyDescent="0.3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x14ac:dyDescent="0.3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x14ac:dyDescent="0.3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x14ac:dyDescent="0.3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x14ac:dyDescent="0.3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x14ac:dyDescent="0.3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x14ac:dyDescent="0.3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x14ac:dyDescent="0.3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x14ac:dyDescent="0.3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x14ac:dyDescent="0.3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x14ac:dyDescent="0.3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x14ac:dyDescent="0.3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x14ac:dyDescent="0.3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x14ac:dyDescent="0.3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x14ac:dyDescent="0.3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x14ac:dyDescent="0.3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x14ac:dyDescent="0.3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x14ac:dyDescent="0.3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x14ac:dyDescent="0.3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x14ac:dyDescent="0.3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  <row r="1001" spans="1:26" x14ac:dyDescent="0.3">
      <c r="A1001" s="52"/>
      <c r="B1001" s="52"/>
      <c r="C1001" s="52"/>
      <c r="D1001" s="52"/>
      <c r="E1001" s="52"/>
      <c r="F1001" s="52"/>
      <c r="G1001" s="52"/>
      <c r="H1001" s="52"/>
      <c r="I1001" s="52"/>
      <c r="J1001" s="52"/>
      <c r="K1001" s="52"/>
      <c r="L1001" s="52"/>
      <c r="M1001" s="52"/>
      <c r="N1001" s="52"/>
      <c r="O1001" s="52"/>
      <c r="P1001" s="52"/>
      <c r="Q1001" s="52"/>
      <c r="R1001" s="52"/>
      <c r="S1001" s="52"/>
      <c r="T1001" s="52"/>
      <c r="U1001" s="52"/>
      <c r="V1001" s="52"/>
      <c r="W1001" s="52"/>
      <c r="X1001" s="52"/>
      <c r="Y1001" s="52"/>
      <c r="Z1001" s="52"/>
    </row>
    <row r="1002" spans="1:26" x14ac:dyDescent="0.3">
      <c r="A1002" s="52"/>
      <c r="B1002" s="52"/>
      <c r="C1002" s="52"/>
      <c r="D1002" s="52"/>
      <c r="E1002" s="52"/>
      <c r="F1002" s="52"/>
      <c r="G1002" s="52"/>
      <c r="H1002" s="52"/>
      <c r="I1002" s="52"/>
      <c r="J1002" s="52"/>
      <c r="K1002" s="52"/>
      <c r="L1002" s="52"/>
      <c r="M1002" s="52"/>
      <c r="N1002" s="52"/>
      <c r="O1002" s="52"/>
      <c r="P1002" s="52"/>
      <c r="Q1002" s="52"/>
      <c r="R1002" s="52"/>
      <c r="S1002" s="52"/>
      <c r="T1002" s="52"/>
      <c r="U1002" s="52"/>
      <c r="V1002" s="52"/>
      <c r="W1002" s="52"/>
      <c r="X1002" s="52"/>
      <c r="Y1002" s="52"/>
      <c r="Z1002" s="52"/>
    </row>
    <row r="1003" spans="1:26" x14ac:dyDescent="0.3">
      <c r="A1003" s="52"/>
      <c r="B1003" s="52"/>
      <c r="C1003" s="52"/>
      <c r="D1003" s="52"/>
      <c r="E1003" s="52"/>
      <c r="F1003" s="52"/>
      <c r="G1003" s="52"/>
      <c r="H1003" s="52"/>
      <c r="I1003" s="52"/>
      <c r="J1003" s="52"/>
      <c r="K1003" s="52"/>
      <c r="L1003" s="52"/>
      <c r="M1003" s="52"/>
      <c r="N1003" s="52"/>
      <c r="O1003" s="52"/>
      <c r="P1003" s="52"/>
      <c r="Q1003" s="52"/>
      <c r="R1003" s="52"/>
      <c r="S1003" s="52"/>
      <c r="T1003" s="52"/>
      <c r="U1003" s="52"/>
      <c r="V1003" s="52"/>
      <c r="W1003" s="52"/>
      <c r="X1003" s="52"/>
      <c r="Y1003" s="52"/>
      <c r="Z1003" s="52"/>
    </row>
    <row r="1004" spans="1:26" x14ac:dyDescent="0.3">
      <c r="A1004" s="52"/>
      <c r="B1004" s="52"/>
      <c r="C1004" s="52"/>
      <c r="D1004" s="52"/>
      <c r="E1004" s="52"/>
      <c r="F1004" s="52"/>
      <c r="G1004" s="52"/>
      <c r="H1004" s="52"/>
      <c r="I1004" s="52"/>
      <c r="J1004" s="52"/>
      <c r="K1004" s="52"/>
      <c r="L1004" s="52"/>
      <c r="M1004" s="52"/>
      <c r="N1004" s="52"/>
      <c r="O1004" s="52"/>
      <c r="P1004" s="52"/>
      <c r="Q1004" s="52"/>
      <c r="R1004" s="52"/>
      <c r="S1004" s="52"/>
      <c r="T1004" s="52"/>
      <c r="U1004" s="52"/>
      <c r="V1004" s="52"/>
      <c r="W1004" s="52"/>
      <c r="X1004" s="52"/>
      <c r="Y1004" s="52"/>
      <c r="Z1004" s="52"/>
    </row>
    <row r="1005" spans="1:26" x14ac:dyDescent="0.3">
      <c r="A1005" s="52"/>
      <c r="B1005" s="52"/>
      <c r="C1005" s="52"/>
      <c r="D1005" s="52"/>
      <c r="E1005" s="52"/>
      <c r="F1005" s="52"/>
      <c r="G1005" s="52"/>
      <c r="H1005" s="52"/>
      <c r="I1005" s="52"/>
      <c r="J1005" s="52"/>
      <c r="K1005" s="52"/>
      <c r="L1005" s="52"/>
      <c r="M1005" s="52"/>
      <c r="N1005" s="52"/>
      <c r="O1005" s="52"/>
      <c r="P1005" s="52"/>
      <c r="Q1005" s="52"/>
      <c r="R1005" s="52"/>
      <c r="S1005" s="52"/>
      <c r="T1005" s="52"/>
      <c r="U1005" s="52"/>
      <c r="V1005" s="52"/>
      <c r="W1005" s="52"/>
      <c r="X1005" s="52"/>
      <c r="Y1005" s="52"/>
      <c r="Z1005" s="52"/>
    </row>
    <row r="1006" spans="1:26" x14ac:dyDescent="0.3">
      <c r="A1006" s="52"/>
      <c r="B1006" s="52"/>
      <c r="C1006" s="52"/>
      <c r="D1006" s="52"/>
      <c r="E1006" s="52"/>
      <c r="F1006" s="52"/>
      <c r="G1006" s="52"/>
      <c r="H1006" s="52"/>
      <c r="I1006" s="52"/>
      <c r="J1006" s="52"/>
      <c r="K1006" s="52"/>
      <c r="L1006" s="52"/>
      <c r="M1006" s="52"/>
      <c r="N1006" s="52"/>
      <c r="O1006" s="52"/>
      <c r="P1006" s="52"/>
      <c r="Q1006" s="52"/>
      <c r="R1006" s="52"/>
      <c r="S1006" s="52"/>
      <c r="T1006" s="52"/>
      <c r="U1006" s="52"/>
      <c r="V1006" s="52"/>
      <c r="W1006" s="52"/>
      <c r="X1006" s="52"/>
      <c r="Y1006" s="52"/>
      <c r="Z1006" s="52"/>
    </row>
    <row r="1007" spans="1:26" x14ac:dyDescent="0.3">
      <c r="A1007" s="52"/>
      <c r="B1007" s="52"/>
      <c r="C1007" s="52"/>
      <c r="D1007" s="52"/>
      <c r="E1007" s="52"/>
      <c r="F1007" s="52"/>
      <c r="G1007" s="52"/>
      <c r="H1007" s="52"/>
      <c r="I1007" s="52"/>
      <c r="J1007" s="52"/>
      <c r="K1007" s="52"/>
      <c r="L1007" s="52"/>
      <c r="M1007" s="52"/>
      <c r="N1007" s="52"/>
      <c r="O1007" s="52"/>
      <c r="P1007" s="52"/>
      <c r="Q1007" s="52"/>
      <c r="R1007" s="52"/>
      <c r="S1007" s="52"/>
      <c r="T1007" s="52"/>
      <c r="U1007" s="52"/>
      <c r="V1007" s="52"/>
      <c r="W1007" s="52"/>
      <c r="X1007" s="52"/>
      <c r="Y1007" s="52"/>
      <c r="Z1007" s="52"/>
    </row>
    <row r="1008" spans="1:26" x14ac:dyDescent="0.3">
      <c r="A1008" s="52"/>
      <c r="B1008" s="52"/>
      <c r="C1008" s="52"/>
      <c r="D1008" s="52"/>
      <c r="E1008" s="52"/>
      <c r="F1008" s="52"/>
      <c r="G1008" s="52"/>
      <c r="H1008" s="52"/>
      <c r="I1008" s="52"/>
      <c r="J1008" s="52"/>
      <c r="K1008" s="52"/>
      <c r="L1008" s="52"/>
      <c r="M1008" s="52"/>
      <c r="N1008" s="52"/>
      <c r="O1008" s="52"/>
      <c r="P1008" s="52"/>
      <c r="Q1008" s="52"/>
      <c r="R1008" s="52"/>
      <c r="S1008" s="52"/>
      <c r="T1008" s="52"/>
      <c r="U1008" s="52"/>
      <c r="V1008" s="52"/>
      <c r="W1008" s="52"/>
      <c r="X1008" s="52"/>
      <c r="Y1008" s="52"/>
      <c r="Z1008" s="52"/>
    </row>
    <row r="1009" spans="1:25" x14ac:dyDescent="0.3">
      <c r="A1009" s="52"/>
      <c r="B1009" s="52"/>
      <c r="C1009" s="52"/>
      <c r="D1009" s="52"/>
      <c r="E1009" s="52"/>
      <c r="F1009" s="52"/>
      <c r="G1009" s="52"/>
      <c r="H1009" s="52"/>
      <c r="I1009" s="52"/>
      <c r="J1009" s="52"/>
      <c r="K1009" s="52"/>
      <c r="L1009" s="52"/>
      <c r="M1009" s="52"/>
      <c r="N1009" s="52"/>
      <c r="O1009" s="52"/>
      <c r="P1009" s="52"/>
      <c r="Q1009" s="52"/>
      <c r="R1009" s="52"/>
      <c r="S1009" s="52"/>
      <c r="T1009" s="52"/>
      <c r="U1009" s="52"/>
      <c r="V1009" s="52"/>
      <c r="W1009" s="52"/>
      <c r="X1009" s="52"/>
      <c r="Y1009" s="5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BCD9F-7C31-4B1C-B0C1-60B9AFAE4B27}">
  <dimension ref="A1:F50"/>
  <sheetViews>
    <sheetView workbookViewId="0">
      <selection activeCell="F21" sqref="F21"/>
    </sheetView>
  </sheetViews>
  <sheetFormatPr defaultColWidth="14.44140625" defaultRowHeight="14.4" x14ac:dyDescent="0.3"/>
  <cols>
    <col min="1" max="1" width="24.109375" style="17" customWidth="1"/>
    <col min="2" max="2" width="13.109375" style="17" customWidth="1"/>
    <col min="3" max="3" width="11.109375" style="17" customWidth="1"/>
    <col min="4" max="4" width="14.109375" style="17" customWidth="1"/>
    <col min="5" max="5" width="13" style="17" customWidth="1"/>
    <col min="6" max="6" width="82.33203125" style="17" customWidth="1"/>
    <col min="7" max="7" width="73.88671875" style="17" customWidth="1"/>
    <col min="8" max="26" width="11" style="17" customWidth="1"/>
    <col min="27" max="16384" width="14.44140625" style="17"/>
  </cols>
  <sheetData>
    <row r="1" spans="1:6" x14ac:dyDescent="0.3">
      <c r="A1" s="287" t="s">
        <v>316</v>
      </c>
      <c r="B1" s="288"/>
      <c r="C1" s="288"/>
      <c r="D1" s="288"/>
      <c r="E1" s="288"/>
      <c r="F1" s="134"/>
    </row>
    <row r="2" spans="1:6" ht="15" thickBot="1" x14ac:dyDescent="0.35">
      <c r="A2" s="135"/>
      <c r="B2" s="135"/>
      <c r="C2" s="135"/>
      <c r="D2" s="135"/>
      <c r="E2" s="135"/>
      <c r="F2" s="135"/>
    </row>
    <row r="3" spans="1:6" x14ac:dyDescent="0.3">
      <c r="A3" s="134"/>
      <c r="B3" s="134"/>
      <c r="C3" s="134"/>
      <c r="D3" s="134"/>
      <c r="E3" s="134"/>
      <c r="F3" s="134"/>
    </row>
    <row r="4" spans="1:6" x14ac:dyDescent="0.3">
      <c r="A4" s="133" t="s">
        <v>289</v>
      </c>
      <c r="B4" s="136" t="s">
        <v>290</v>
      </c>
      <c r="C4" s="136" t="s">
        <v>291</v>
      </c>
      <c r="D4" s="136" t="s">
        <v>292</v>
      </c>
      <c r="E4" s="136" t="s">
        <v>293</v>
      </c>
      <c r="F4" s="136" t="s">
        <v>294</v>
      </c>
    </row>
    <row r="5" spans="1:6" x14ac:dyDescent="0.3">
      <c r="A5" s="137"/>
      <c r="B5" s="138" t="s">
        <v>12</v>
      </c>
      <c r="C5" s="136" t="s">
        <v>12</v>
      </c>
      <c r="D5" s="138" t="s">
        <v>12</v>
      </c>
      <c r="E5" s="137"/>
      <c r="F5" s="137"/>
    </row>
    <row r="6" spans="1:6" x14ac:dyDescent="0.3">
      <c r="A6" s="139"/>
      <c r="B6" s="113"/>
      <c r="C6" s="140"/>
      <c r="D6" s="141"/>
      <c r="E6" s="139"/>
      <c r="F6" s="139"/>
    </row>
    <row r="7" spans="1:6" x14ac:dyDescent="0.3">
      <c r="A7" s="142" t="s">
        <v>295</v>
      </c>
      <c r="B7" s="113"/>
      <c r="C7" s="140"/>
      <c r="D7" s="141"/>
      <c r="E7" s="139"/>
      <c r="F7" s="139"/>
    </row>
    <row r="8" spans="1:6" x14ac:dyDescent="0.3">
      <c r="A8" s="139" t="s">
        <v>251</v>
      </c>
      <c r="B8" s="113">
        <v>22500</v>
      </c>
      <c r="C8" s="9">
        <v>23000</v>
      </c>
      <c r="D8" s="141">
        <f>C8-B8</f>
        <v>500</v>
      </c>
      <c r="E8" s="139">
        <f>D8/C8*100</f>
        <v>2.1739130434782608</v>
      </c>
      <c r="F8" s="139" t="s">
        <v>331</v>
      </c>
    </row>
    <row r="9" spans="1:6" x14ac:dyDescent="0.3">
      <c r="A9" s="139" t="s">
        <v>296</v>
      </c>
      <c r="B9" s="113">
        <v>0</v>
      </c>
      <c r="C9" s="9">
        <v>0</v>
      </c>
      <c r="D9" s="141">
        <f t="shared" ref="D9:D50" si="0">C9-B9</f>
        <v>0</v>
      </c>
      <c r="E9" s="139"/>
      <c r="F9" s="139" t="s">
        <v>297</v>
      </c>
    </row>
    <row r="10" spans="1:6" x14ac:dyDescent="0.3">
      <c r="A10" s="139" t="s">
        <v>200</v>
      </c>
      <c r="B10" s="113">
        <v>1.17</v>
      </c>
      <c r="C10" s="9">
        <v>18.489999999999998</v>
      </c>
      <c r="D10" s="141">
        <f t="shared" si="0"/>
        <v>17.32</v>
      </c>
      <c r="E10" s="139">
        <f t="shared" ref="E10:E50" si="1">D10/C10*100</f>
        <v>93.672255273120612</v>
      </c>
      <c r="F10" s="139" t="s">
        <v>332</v>
      </c>
    </row>
    <row r="11" spans="1:6" ht="28.8" x14ac:dyDescent="0.3">
      <c r="A11" s="139" t="s">
        <v>298</v>
      </c>
      <c r="B11" s="113">
        <v>0</v>
      </c>
      <c r="C11" s="9">
        <v>0</v>
      </c>
      <c r="D11" s="141">
        <f t="shared" si="0"/>
        <v>0</v>
      </c>
      <c r="E11" s="139"/>
      <c r="F11" s="139"/>
    </row>
    <row r="12" spans="1:6" ht="44.25" customHeight="1" x14ac:dyDescent="0.3">
      <c r="A12" s="139" t="s">
        <v>299</v>
      </c>
      <c r="B12" s="113">
        <v>3974.5</v>
      </c>
      <c r="C12" s="9">
        <v>2820.25</v>
      </c>
      <c r="D12" s="141">
        <f t="shared" si="0"/>
        <v>-1154.25</v>
      </c>
      <c r="E12" s="139">
        <f t="shared" si="1"/>
        <v>-40.927222763939369</v>
      </c>
      <c r="F12" s="139" t="s">
        <v>344</v>
      </c>
    </row>
    <row r="13" spans="1:6" ht="18" customHeight="1" x14ac:dyDescent="0.3">
      <c r="A13" s="139" t="s">
        <v>341</v>
      </c>
      <c r="B13" s="113">
        <v>1334.83</v>
      </c>
      <c r="C13" s="9">
        <v>0</v>
      </c>
      <c r="D13" s="141">
        <f t="shared" si="0"/>
        <v>-1334.83</v>
      </c>
      <c r="E13" s="139">
        <v>-100</v>
      </c>
      <c r="F13" s="139" t="s">
        <v>317</v>
      </c>
    </row>
    <row r="14" spans="1:6" x14ac:dyDescent="0.3">
      <c r="A14" s="139"/>
      <c r="B14" s="114">
        <f>SUM(B8:B13)</f>
        <v>27810.5</v>
      </c>
      <c r="C14" s="9">
        <f>SUM(C8:C13)</f>
        <v>25838.74</v>
      </c>
      <c r="D14" s="141">
        <f t="shared" si="0"/>
        <v>-1971.7599999999984</v>
      </c>
      <c r="E14" s="139">
        <f t="shared" si="1"/>
        <v>-7.6310222557291807</v>
      </c>
      <c r="F14" s="139"/>
    </row>
    <row r="15" spans="1:6" x14ac:dyDescent="0.3">
      <c r="A15" s="139"/>
      <c r="B15" s="113"/>
      <c r="C15" s="9"/>
      <c r="D15" s="141"/>
      <c r="E15" s="139"/>
      <c r="F15" s="139"/>
    </row>
    <row r="16" spans="1:6" x14ac:dyDescent="0.3">
      <c r="A16" s="142" t="s">
        <v>300</v>
      </c>
      <c r="B16" s="113"/>
      <c r="C16" s="9"/>
      <c r="D16" s="141"/>
      <c r="E16" s="139"/>
      <c r="F16" s="139"/>
    </row>
    <row r="17" spans="1:6" x14ac:dyDescent="0.3">
      <c r="A17" s="142" t="s">
        <v>254</v>
      </c>
      <c r="B17" s="114" t="s">
        <v>10</v>
      </c>
      <c r="C17" s="9"/>
      <c r="D17" s="141"/>
      <c r="E17" s="139"/>
      <c r="F17" s="139"/>
    </row>
    <row r="18" spans="1:6" ht="43.2" x14ac:dyDescent="0.3">
      <c r="A18" s="142" t="s">
        <v>255</v>
      </c>
      <c r="B18" s="115">
        <v>9394.7199999999993</v>
      </c>
      <c r="C18" s="9">
        <v>8891.9</v>
      </c>
      <c r="D18" s="141">
        <f t="shared" si="0"/>
        <v>-502.81999999999971</v>
      </c>
      <c r="E18" s="139">
        <f t="shared" si="1"/>
        <v>-5.6548094333044645</v>
      </c>
      <c r="F18" s="139" t="s">
        <v>335</v>
      </c>
    </row>
    <row r="19" spans="1:6" ht="28.8" x14ac:dyDescent="0.3">
      <c r="A19" s="142" t="s">
        <v>256</v>
      </c>
      <c r="B19" s="113">
        <v>1670.11</v>
      </c>
      <c r="C19" s="9">
        <f>Payments!F103+Payments!G103+Payments!I103</f>
        <v>0</v>
      </c>
      <c r="D19" s="141">
        <f t="shared" si="0"/>
        <v>-1670.11</v>
      </c>
      <c r="E19" s="139" t="e">
        <f t="shared" si="1"/>
        <v>#DIV/0!</v>
      </c>
      <c r="F19" s="139" t="s">
        <v>342</v>
      </c>
    </row>
    <row r="20" spans="1:6" ht="15.75" customHeight="1" x14ac:dyDescent="0.3">
      <c r="A20" s="142" t="s">
        <v>301</v>
      </c>
      <c r="B20" s="113">
        <v>1324.97</v>
      </c>
      <c r="C20" s="9">
        <v>1030</v>
      </c>
      <c r="D20" s="141">
        <f t="shared" si="0"/>
        <v>-294.97000000000003</v>
      </c>
      <c r="E20" s="139">
        <f t="shared" si="1"/>
        <v>-28.637864077669906</v>
      </c>
      <c r="F20" s="139" t="s">
        <v>343</v>
      </c>
    </row>
    <row r="21" spans="1:6" ht="36.75" customHeight="1" x14ac:dyDescent="0.3">
      <c r="A21" s="142" t="s">
        <v>21</v>
      </c>
      <c r="B21" s="113">
        <v>563.74</v>
      </c>
      <c r="C21" s="9">
        <f>Payments!L103</f>
        <v>0</v>
      </c>
      <c r="D21" s="141">
        <f t="shared" si="0"/>
        <v>-563.74</v>
      </c>
      <c r="E21" s="139" t="e">
        <f t="shared" si="1"/>
        <v>#DIV/0!</v>
      </c>
      <c r="F21" s="143" t="s">
        <v>302</v>
      </c>
    </row>
    <row r="22" spans="1:6" ht="15.75" customHeight="1" x14ac:dyDescent="0.3">
      <c r="A22" s="142" t="s">
        <v>315</v>
      </c>
      <c r="B22" s="114">
        <f>SUM(B18:B21)</f>
        <v>12953.539999999999</v>
      </c>
      <c r="C22" s="116">
        <f>SUM(C18:C21)</f>
        <v>9921.9</v>
      </c>
      <c r="D22" s="141"/>
      <c r="E22" s="139"/>
      <c r="F22" s="143"/>
    </row>
    <row r="23" spans="1:6" ht="15.75" customHeight="1" x14ac:dyDescent="0.3">
      <c r="A23" s="142"/>
      <c r="B23" s="113" t="s">
        <v>10</v>
      </c>
      <c r="C23" s="9"/>
      <c r="D23" s="141"/>
      <c r="E23" s="139"/>
      <c r="F23" s="139" t="s">
        <v>10</v>
      </c>
    </row>
    <row r="24" spans="1:6" ht="15.75" customHeight="1" x14ac:dyDescent="0.3">
      <c r="A24" s="142" t="s">
        <v>258</v>
      </c>
      <c r="B24" s="113"/>
      <c r="C24" s="9"/>
      <c r="D24" s="141">
        <f t="shared" si="0"/>
        <v>0</v>
      </c>
      <c r="E24" s="139"/>
      <c r="F24" s="139" t="s">
        <v>10</v>
      </c>
    </row>
    <row r="25" spans="1:6" ht="15.75" customHeight="1" x14ac:dyDescent="0.3">
      <c r="A25" s="144" t="s">
        <v>303</v>
      </c>
      <c r="B25" s="113">
        <v>2172</v>
      </c>
      <c r="C25" s="9">
        <v>0</v>
      </c>
      <c r="D25" s="141">
        <f t="shared" si="0"/>
        <v>-2172</v>
      </c>
      <c r="E25" s="139"/>
      <c r="F25" s="139" t="s">
        <v>319</v>
      </c>
    </row>
    <row r="26" spans="1:6" ht="15.75" customHeight="1" x14ac:dyDescent="0.3">
      <c r="A26" s="144" t="s">
        <v>304</v>
      </c>
      <c r="B26" s="113">
        <v>700</v>
      </c>
      <c r="C26" s="9">
        <f>Payments!T103</f>
        <v>0</v>
      </c>
      <c r="D26" s="141">
        <f t="shared" si="0"/>
        <v>-700</v>
      </c>
      <c r="E26" s="139" t="e">
        <f t="shared" si="1"/>
        <v>#DIV/0!</v>
      </c>
      <c r="F26" s="143" t="s">
        <v>318</v>
      </c>
    </row>
    <row r="27" spans="1:6" ht="15.75" customHeight="1" x14ac:dyDescent="0.3">
      <c r="A27" s="144" t="s">
        <v>11</v>
      </c>
      <c r="B27" s="113">
        <v>629.19000000000005</v>
      </c>
      <c r="C27" s="9">
        <f>Payments!S103</f>
        <v>0</v>
      </c>
      <c r="D27" s="141">
        <f t="shared" si="0"/>
        <v>-629.19000000000005</v>
      </c>
      <c r="E27" s="139" t="e">
        <f t="shared" si="1"/>
        <v>#DIV/0!</v>
      </c>
      <c r="F27" s="143" t="s">
        <v>328</v>
      </c>
    </row>
    <row r="28" spans="1:6" ht="15.75" customHeight="1" x14ac:dyDescent="0.3">
      <c r="A28" s="144" t="s">
        <v>305</v>
      </c>
      <c r="B28" s="113">
        <v>900</v>
      </c>
      <c r="C28" s="9">
        <v>0</v>
      </c>
      <c r="D28" s="141">
        <f t="shared" si="0"/>
        <v>-900</v>
      </c>
      <c r="E28" s="139"/>
      <c r="F28" s="143"/>
    </row>
    <row r="29" spans="1:6" ht="15.75" customHeight="1" x14ac:dyDescent="0.3">
      <c r="A29" s="144" t="s">
        <v>315</v>
      </c>
      <c r="B29" s="114">
        <f>SUM(B25:B28)</f>
        <v>4401.1900000000005</v>
      </c>
      <c r="C29" s="116">
        <f>SUM(C25:C28)</f>
        <v>0</v>
      </c>
      <c r="D29" s="141"/>
      <c r="E29" s="139"/>
      <c r="F29" s="143"/>
    </row>
    <row r="30" spans="1:6" ht="15.75" customHeight="1" x14ac:dyDescent="0.3">
      <c r="A30" s="142" t="s">
        <v>259</v>
      </c>
      <c r="B30" s="113"/>
      <c r="C30" s="9"/>
      <c r="D30" s="141">
        <f t="shared" si="0"/>
        <v>0</v>
      </c>
      <c r="E30" s="139"/>
      <c r="F30" s="139" t="s">
        <v>10</v>
      </c>
    </row>
    <row r="31" spans="1:6" ht="15.75" customHeight="1" x14ac:dyDescent="0.3">
      <c r="A31" s="144" t="s">
        <v>306</v>
      </c>
      <c r="B31" s="113">
        <v>198</v>
      </c>
      <c r="C31" s="9">
        <v>208.8</v>
      </c>
      <c r="D31" s="141">
        <f t="shared" si="0"/>
        <v>10.800000000000011</v>
      </c>
      <c r="E31" s="139">
        <f t="shared" si="1"/>
        <v>5.1724137931034537</v>
      </c>
      <c r="F31" s="139" t="s">
        <v>10</v>
      </c>
    </row>
    <row r="32" spans="1:6" ht="15.75" customHeight="1" x14ac:dyDescent="0.3">
      <c r="A32" s="144" t="s">
        <v>329</v>
      </c>
      <c r="B32" s="113">
        <v>315.5</v>
      </c>
      <c r="C32" s="9">
        <v>65</v>
      </c>
      <c r="D32" s="141">
        <f t="shared" si="0"/>
        <v>-250.5</v>
      </c>
      <c r="E32" s="139">
        <f t="shared" si="1"/>
        <v>-385.38461538461542</v>
      </c>
      <c r="F32" s="139" t="s">
        <v>330</v>
      </c>
    </row>
    <row r="33" spans="1:6" ht="15.75" customHeight="1" x14ac:dyDescent="0.3">
      <c r="A33" s="144" t="s">
        <v>315</v>
      </c>
      <c r="B33" s="114">
        <f>SUM(B31:B32)</f>
        <v>513.5</v>
      </c>
      <c r="C33" s="116">
        <f>SUM(C31:C32)</f>
        <v>273.8</v>
      </c>
      <c r="D33" s="141"/>
      <c r="E33" s="139"/>
      <c r="F33" s="139"/>
    </row>
    <row r="34" spans="1:6" ht="15.75" customHeight="1" x14ac:dyDescent="0.3">
      <c r="A34" s="142" t="s">
        <v>307</v>
      </c>
      <c r="B34" s="113"/>
      <c r="C34" s="9"/>
      <c r="D34" s="141">
        <f t="shared" si="0"/>
        <v>0</v>
      </c>
      <c r="E34" s="139"/>
      <c r="F34" s="139"/>
    </row>
    <row r="35" spans="1:6" ht="15.75" customHeight="1" x14ac:dyDescent="0.3">
      <c r="A35" s="145" t="s">
        <v>308</v>
      </c>
      <c r="B35" s="113">
        <v>200</v>
      </c>
      <c r="C35" s="9">
        <v>0</v>
      </c>
      <c r="D35" s="141">
        <f t="shared" si="0"/>
        <v>-200</v>
      </c>
      <c r="E35" s="139"/>
      <c r="F35" s="139"/>
    </row>
    <row r="36" spans="1:6" ht="15.75" customHeight="1" x14ac:dyDescent="0.3">
      <c r="A36" s="145" t="s">
        <v>309</v>
      </c>
      <c r="B36" s="113">
        <v>3255</v>
      </c>
      <c r="C36" s="9">
        <v>0</v>
      </c>
      <c r="D36" s="141">
        <f t="shared" si="0"/>
        <v>-3255</v>
      </c>
      <c r="E36" s="139"/>
      <c r="F36" s="139"/>
    </row>
    <row r="37" spans="1:6" ht="15.75" customHeight="1" x14ac:dyDescent="0.3">
      <c r="A37" s="145" t="s">
        <v>310</v>
      </c>
      <c r="B37" s="113">
        <v>2478.75</v>
      </c>
      <c r="C37" s="9">
        <v>0</v>
      </c>
      <c r="D37" s="141">
        <f t="shared" si="0"/>
        <v>-2478.75</v>
      </c>
      <c r="E37" s="139"/>
      <c r="F37" s="139"/>
    </row>
    <row r="38" spans="1:6" ht="15.75" customHeight="1" x14ac:dyDescent="0.3">
      <c r="A38" s="145" t="s">
        <v>311</v>
      </c>
      <c r="B38" s="113">
        <v>996.51</v>
      </c>
      <c r="C38" s="9">
        <v>0</v>
      </c>
      <c r="D38" s="141">
        <f t="shared" si="0"/>
        <v>-996.51</v>
      </c>
      <c r="E38" s="139"/>
      <c r="F38" s="139"/>
    </row>
    <row r="39" spans="1:6" ht="15.75" customHeight="1" x14ac:dyDescent="0.3">
      <c r="A39" s="145" t="s">
        <v>312</v>
      </c>
      <c r="B39" s="113">
        <v>925</v>
      </c>
      <c r="C39" s="9">
        <f>Payments!W19</f>
        <v>0</v>
      </c>
      <c r="D39" s="141">
        <f t="shared" si="0"/>
        <v>-925</v>
      </c>
      <c r="E39" s="139" t="e">
        <f t="shared" si="1"/>
        <v>#DIV/0!</v>
      </c>
      <c r="F39" s="139" t="s">
        <v>327</v>
      </c>
    </row>
    <row r="40" spans="1:6" ht="15.75" customHeight="1" x14ac:dyDescent="0.3">
      <c r="A40" s="145" t="s">
        <v>321</v>
      </c>
      <c r="B40" s="113">
        <v>0</v>
      </c>
      <c r="C40" s="9">
        <v>4757.3999999999996</v>
      </c>
      <c r="D40" s="141">
        <f t="shared" si="0"/>
        <v>4757.3999999999996</v>
      </c>
      <c r="E40" s="139">
        <f t="shared" si="1"/>
        <v>100</v>
      </c>
      <c r="F40" s="139" t="s">
        <v>322</v>
      </c>
    </row>
    <row r="41" spans="1:6" ht="15.75" customHeight="1" x14ac:dyDescent="0.3">
      <c r="A41" s="145" t="s">
        <v>323</v>
      </c>
      <c r="B41" s="113">
        <v>0</v>
      </c>
      <c r="C41" s="9">
        <v>2250</v>
      </c>
      <c r="D41" s="141">
        <f t="shared" si="0"/>
        <v>2250</v>
      </c>
      <c r="E41" s="139">
        <f t="shared" si="1"/>
        <v>100</v>
      </c>
      <c r="F41" s="139" t="s">
        <v>326</v>
      </c>
    </row>
    <row r="42" spans="1:6" ht="15.75" customHeight="1" x14ac:dyDescent="0.3">
      <c r="A42" s="145" t="s">
        <v>324</v>
      </c>
      <c r="B42" s="113"/>
      <c r="C42" s="9" t="e">
        <f>Payments!#REF!</f>
        <v>#REF!</v>
      </c>
      <c r="D42" s="141" t="e">
        <f t="shared" si="0"/>
        <v>#REF!</v>
      </c>
      <c r="E42" s="139" t="e">
        <f t="shared" si="1"/>
        <v>#REF!</v>
      </c>
      <c r="F42" s="139" t="s">
        <v>325</v>
      </c>
    </row>
    <row r="43" spans="1:6" ht="15.75" customHeight="1" x14ac:dyDescent="0.3">
      <c r="A43" s="145" t="s">
        <v>256</v>
      </c>
      <c r="B43" s="113">
        <v>180</v>
      </c>
      <c r="C43" s="9">
        <v>0</v>
      </c>
      <c r="D43" s="141">
        <f t="shared" si="0"/>
        <v>-180</v>
      </c>
      <c r="E43" s="139"/>
      <c r="F43" s="139"/>
    </row>
    <row r="44" spans="1:6" ht="15.75" customHeight="1" x14ac:dyDescent="0.3">
      <c r="A44" s="145" t="s">
        <v>315</v>
      </c>
      <c r="B44" s="114">
        <f>SUM(B35:B43)</f>
        <v>8035.26</v>
      </c>
      <c r="C44" s="116" t="e">
        <f>SUM(C35:C43)</f>
        <v>#REF!</v>
      </c>
      <c r="D44" s="141"/>
      <c r="E44" s="139"/>
      <c r="F44" s="139"/>
    </row>
    <row r="45" spans="1:6" ht="15.75" customHeight="1" x14ac:dyDescent="0.3">
      <c r="A45" s="142" t="s">
        <v>345</v>
      </c>
      <c r="B45" s="113"/>
      <c r="C45" s="9"/>
      <c r="D45" s="141">
        <f t="shared" si="0"/>
        <v>0</v>
      </c>
      <c r="E45" s="139"/>
      <c r="F45" s="139"/>
    </row>
    <row r="46" spans="1:6" ht="15.75" customHeight="1" x14ac:dyDescent="0.3">
      <c r="A46" s="139" t="s">
        <v>313</v>
      </c>
      <c r="B46" s="113">
        <v>500</v>
      </c>
      <c r="C46" s="9">
        <v>1500</v>
      </c>
      <c r="D46" s="141">
        <f t="shared" si="0"/>
        <v>1000</v>
      </c>
      <c r="E46" s="139">
        <f t="shared" si="1"/>
        <v>66.666666666666657</v>
      </c>
      <c r="F46" s="139" t="s">
        <v>320</v>
      </c>
    </row>
    <row r="47" spans="1:6" ht="15.75" customHeight="1" x14ac:dyDescent="0.3">
      <c r="A47" s="139" t="s">
        <v>314</v>
      </c>
      <c r="B47" s="113">
        <v>2110</v>
      </c>
      <c r="C47" s="9" t="e">
        <f>Payments!#REF!</f>
        <v>#REF!</v>
      </c>
      <c r="D47" s="141" t="e">
        <f t="shared" si="0"/>
        <v>#REF!</v>
      </c>
      <c r="E47" s="139" t="e">
        <f t="shared" si="1"/>
        <v>#REF!</v>
      </c>
      <c r="F47" s="139" t="s">
        <v>318</v>
      </c>
    </row>
    <row r="48" spans="1:6" ht="15.75" customHeight="1" x14ac:dyDescent="0.3">
      <c r="A48" s="142" t="s">
        <v>315</v>
      </c>
      <c r="B48" s="114">
        <f>SUM(B46:B47)</f>
        <v>2610</v>
      </c>
      <c r="C48" s="116" t="e">
        <f>SUM(C46:C47)</f>
        <v>#REF!</v>
      </c>
      <c r="D48" s="141"/>
      <c r="E48" s="139"/>
      <c r="F48" s="139"/>
    </row>
    <row r="49" spans="1:6" ht="15.75" customHeight="1" x14ac:dyDescent="0.3">
      <c r="A49" s="142" t="s">
        <v>261</v>
      </c>
      <c r="B49" s="113">
        <v>1926.92</v>
      </c>
      <c r="C49" s="9">
        <f>Payments!Y103</f>
        <v>0</v>
      </c>
      <c r="D49" s="141">
        <f t="shared" si="0"/>
        <v>-1926.92</v>
      </c>
      <c r="E49" s="139" t="e">
        <f t="shared" si="1"/>
        <v>#DIV/0!</v>
      </c>
      <c r="F49" s="139"/>
    </row>
    <row r="50" spans="1:6" ht="15.75" customHeight="1" x14ac:dyDescent="0.3">
      <c r="A50" s="142" t="s">
        <v>315</v>
      </c>
      <c r="B50" s="114">
        <f>B22+B29+B33+B44+B48+B49</f>
        <v>30440.409999999996</v>
      </c>
      <c r="C50" s="116" t="e">
        <f>C22+C29+C33+C44+C48+C49</f>
        <v>#REF!</v>
      </c>
      <c r="D50" s="141" t="e">
        <f t="shared" si="0"/>
        <v>#REF!</v>
      </c>
      <c r="E50" s="139" t="e">
        <f t="shared" si="1"/>
        <v>#REF!</v>
      </c>
      <c r="F50" s="139"/>
    </row>
  </sheetData>
  <mergeCells count="1">
    <mergeCell ref="A1:E1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A79D4-BB27-4ED9-9445-0BB155C64CA8}">
  <dimension ref="A1:O128"/>
  <sheetViews>
    <sheetView topLeftCell="A28" zoomScale="115" zoomScaleNormal="115" workbookViewId="0">
      <selection activeCell="N56" sqref="N56"/>
    </sheetView>
  </sheetViews>
  <sheetFormatPr defaultColWidth="12.5546875" defaultRowHeight="14.4" x14ac:dyDescent="0.3"/>
  <cols>
    <col min="1" max="1" width="31.6640625" customWidth="1"/>
    <col min="2" max="2" width="13.5546875" customWidth="1"/>
    <col min="3" max="3" width="13" customWidth="1"/>
    <col min="4" max="4" width="23.88671875" hidden="1" customWidth="1"/>
    <col min="5" max="5" width="11.33203125" customWidth="1"/>
    <col min="6" max="6" width="10.44140625" customWidth="1"/>
    <col min="7" max="7" width="11.5546875" customWidth="1"/>
    <col min="8" max="8" width="12.6640625" customWidth="1"/>
    <col min="9" max="9" width="1.44140625" customWidth="1"/>
    <col min="10" max="10" width="11.44140625" style="65" customWidth="1"/>
    <col min="11" max="11" width="24.6640625" hidden="1" customWidth="1"/>
    <col min="12" max="12" width="12.5546875" style="170"/>
    <col min="13" max="13" width="14.44140625" customWidth="1"/>
    <col min="14" max="14" width="12.5546875" style="173"/>
    <col min="15" max="15" width="45.109375" customWidth="1"/>
  </cols>
  <sheetData>
    <row r="1" spans="1:15" s="37" customFormat="1" ht="259.2" x14ac:dyDescent="0.3">
      <c r="A1" s="49" t="s">
        <v>359</v>
      </c>
      <c r="C1" s="51" t="s">
        <v>209</v>
      </c>
      <c r="D1" s="51" t="s">
        <v>95</v>
      </c>
      <c r="E1" s="51" t="s">
        <v>210</v>
      </c>
      <c r="F1" s="51" t="s">
        <v>223</v>
      </c>
      <c r="G1" s="51" t="s">
        <v>225</v>
      </c>
      <c r="H1" s="51" t="s">
        <v>99</v>
      </c>
      <c r="I1" s="51" t="s">
        <v>100</v>
      </c>
      <c r="J1" s="63" t="s">
        <v>205</v>
      </c>
      <c r="K1" s="51" t="s">
        <v>211</v>
      </c>
      <c r="L1" s="162" t="s">
        <v>360</v>
      </c>
      <c r="M1" s="51" t="s">
        <v>361</v>
      </c>
      <c r="N1" s="176" t="s">
        <v>368</v>
      </c>
      <c r="O1" s="50" t="s">
        <v>294</v>
      </c>
    </row>
    <row r="2" spans="1:15" x14ac:dyDescent="0.3">
      <c r="A2" s="50"/>
      <c r="B2" s="52"/>
      <c r="C2" s="52"/>
      <c r="D2" s="52"/>
      <c r="E2" s="52"/>
      <c r="F2" s="52"/>
      <c r="G2" s="50"/>
      <c r="H2" s="52"/>
      <c r="I2" s="52"/>
      <c r="J2" s="64"/>
      <c r="K2" s="52"/>
      <c r="L2" s="163"/>
      <c r="M2" s="52"/>
      <c r="N2" s="172"/>
      <c r="O2" s="52"/>
    </row>
    <row r="3" spans="1:15" x14ac:dyDescent="0.3">
      <c r="A3" s="51" t="s">
        <v>220</v>
      </c>
      <c r="B3" s="54"/>
      <c r="C3" s="52"/>
      <c r="D3" s="52"/>
      <c r="E3" s="52"/>
      <c r="F3" s="52"/>
      <c r="G3" s="52"/>
      <c r="H3" s="52"/>
      <c r="I3" s="52"/>
      <c r="J3" s="64"/>
      <c r="K3" s="52"/>
      <c r="L3" s="163"/>
      <c r="M3" s="52"/>
      <c r="N3" s="172"/>
      <c r="O3" s="52"/>
    </row>
    <row r="4" spans="1:15" ht="28.8" x14ac:dyDescent="0.3">
      <c r="A4" s="50" t="s">
        <v>221</v>
      </c>
      <c r="B4" s="74">
        <f>Reconciliation!G103</f>
        <v>0</v>
      </c>
      <c r="C4" s="52"/>
      <c r="D4" s="52" t="s">
        <v>10</v>
      </c>
      <c r="E4" s="52"/>
      <c r="F4" s="52"/>
      <c r="G4" s="52"/>
      <c r="H4" s="52"/>
      <c r="I4" s="53" t="s">
        <v>10</v>
      </c>
      <c r="J4" s="64" t="s">
        <v>10</v>
      </c>
      <c r="K4" s="52"/>
      <c r="L4" s="163"/>
      <c r="M4" s="52"/>
      <c r="N4" s="172"/>
      <c r="O4" s="52"/>
    </row>
    <row r="5" spans="1:15" x14ac:dyDescent="0.3">
      <c r="A5" s="50"/>
      <c r="B5" s="17"/>
      <c r="C5" s="52"/>
      <c r="D5" s="52"/>
      <c r="E5" s="54" t="s">
        <v>10</v>
      </c>
      <c r="F5" s="52"/>
      <c r="G5" s="52"/>
      <c r="H5" s="52"/>
      <c r="I5" s="53" t="s">
        <v>10</v>
      </c>
      <c r="J5" s="64" t="s">
        <v>10</v>
      </c>
      <c r="K5" s="52"/>
      <c r="L5" s="163"/>
      <c r="M5" s="52"/>
      <c r="N5" s="172"/>
      <c r="O5" s="52"/>
    </row>
    <row r="6" spans="1:15" x14ac:dyDescent="0.3">
      <c r="A6" s="51"/>
      <c r="B6" s="75"/>
      <c r="C6" s="52"/>
      <c r="D6" s="52"/>
      <c r="E6" s="54"/>
      <c r="F6" s="52"/>
      <c r="G6" s="52"/>
      <c r="H6" s="52"/>
      <c r="I6" s="53"/>
      <c r="J6" s="64"/>
      <c r="K6" s="52"/>
      <c r="L6" s="163"/>
      <c r="M6" s="52"/>
      <c r="N6" s="172"/>
      <c r="O6" s="52"/>
    </row>
    <row r="7" spans="1:15" ht="15.6" x14ac:dyDescent="0.3">
      <c r="A7" s="77" t="s">
        <v>105</v>
      </c>
      <c r="B7" s="70">
        <f>SUM(B4:B5)-B6</f>
        <v>0</v>
      </c>
      <c r="C7" s="52"/>
      <c r="D7" s="52"/>
      <c r="E7" s="54"/>
      <c r="F7" s="52"/>
      <c r="G7" s="52"/>
      <c r="H7" s="52"/>
      <c r="I7" s="53"/>
      <c r="J7" s="64"/>
      <c r="K7" s="52"/>
      <c r="L7" s="163"/>
      <c r="M7" s="52"/>
      <c r="N7" s="172"/>
      <c r="O7" s="52"/>
    </row>
    <row r="8" spans="1:15" ht="31.2" x14ac:dyDescent="0.3">
      <c r="A8" s="77" t="s">
        <v>226</v>
      </c>
      <c r="B8" s="70">
        <f>G97</f>
        <v>13752.15</v>
      </c>
      <c r="C8" s="52"/>
      <c r="D8" s="52"/>
      <c r="E8" s="54"/>
      <c r="F8" s="52"/>
      <c r="G8" s="52"/>
      <c r="H8" s="52"/>
      <c r="I8" s="53"/>
      <c r="J8" s="64"/>
      <c r="K8" s="52"/>
      <c r="L8" s="163"/>
      <c r="M8" s="52"/>
      <c r="N8" s="172"/>
      <c r="O8" s="52"/>
    </row>
    <row r="9" spans="1:15" x14ac:dyDescent="0.3">
      <c r="A9" s="51" t="s">
        <v>229</v>
      </c>
      <c r="B9" s="70">
        <f>B7-B8</f>
        <v>-13752.15</v>
      </c>
      <c r="C9" s="52"/>
      <c r="D9" s="52"/>
      <c r="E9" s="52"/>
      <c r="F9" s="52"/>
      <c r="G9" s="52"/>
      <c r="H9" s="52"/>
      <c r="I9" s="52"/>
      <c r="J9" s="64"/>
      <c r="K9" s="52"/>
      <c r="L9" s="164">
        <f>Reconciliation!G21</f>
        <v>30185.360000000001</v>
      </c>
      <c r="M9" s="54">
        <f>L9-B9</f>
        <v>43937.51</v>
      </c>
      <c r="N9" s="172"/>
      <c r="O9" s="52"/>
    </row>
    <row r="10" spans="1:15" x14ac:dyDescent="0.3">
      <c r="A10" s="51" t="s">
        <v>106</v>
      </c>
      <c r="B10" s="52"/>
      <c r="C10" s="71"/>
      <c r="D10" s="52"/>
      <c r="E10" s="52"/>
      <c r="F10" s="52"/>
      <c r="G10" s="52"/>
      <c r="H10" s="52"/>
      <c r="I10" s="52"/>
      <c r="J10" s="64"/>
      <c r="K10" s="52"/>
      <c r="L10" s="163"/>
      <c r="M10" s="54">
        <f t="shared" ref="M10:M23" si="0">L10-B10</f>
        <v>0</v>
      </c>
      <c r="N10" s="172"/>
      <c r="O10" s="52"/>
    </row>
    <row r="11" spans="1:15" ht="28.8" x14ac:dyDescent="0.3">
      <c r="A11" s="50" t="s">
        <v>107</v>
      </c>
      <c r="B11" s="52"/>
      <c r="C11" s="71">
        <v>24500</v>
      </c>
      <c r="D11" s="52"/>
      <c r="E11" s="53" t="s">
        <v>10</v>
      </c>
      <c r="F11" s="52"/>
      <c r="G11" s="52"/>
      <c r="H11" s="52"/>
      <c r="I11" s="52"/>
      <c r="J11" s="64"/>
      <c r="K11" s="52"/>
      <c r="L11" s="165">
        <f>Receipts!D2+Receipts!D3+Receipts!D6+Receipts!D7</f>
        <v>13893.08</v>
      </c>
      <c r="M11" s="54">
        <f>L11-C11</f>
        <v>-10606.92</v>
      </c>
      <c r="N11" s="172"/>
      <c r="O11" s="52"/>
    </row>
    <row r="12" spans="1:15" x14ac:dyDescent="0.3">
      <c r="A12" s="50" t="s">
        <v>108</v>
      </c>
      <c r="B12" s="52"/>
      <c r="C12" s="71"/>
      <c r="D12" s="52"/>
      <c r="E12" s="52"/>
      <c r="F12" s="52"/>
      <c r="G12" s="52"/>
      <c r="H12" s="52"/>
      <c r="I12" s="52"/>
      <c r="J12" s="64"/>
      <c r="K12" s="52"/>
      <c r="L12" s="163"/>
      <c r="M12" s="54">
        <f t="shared" si="0"/>
        <v>0</v>
      </c>
      <c r="N12" s="172"/>
      <c r="O12" s="52"/>
    </row>
    <row r="13" spans="1:15" x14ac:dyDescent="0.3">
      <c r="A13" s="50" t="s">
        <v>227</v>
      </c>
      <c r="B13" s="52" t="s">
        <v>10</v>
      </c>
      <c r="C13" s="71">
        <v>1867</v>
      </c>
      <c r="D13" s="52"/>
      <c r="E13" s="52"/>
      <c r="F13" s="52"/>
      <c r="G13" s="52"/>
      <c r="H13" s="52"/>
      <c r="I13" s="52"/>
      <c r="J13" s="64"/>
      <c r="K13" s="52"/>
      <c r="L13" s="163">
        <f>Receipts!D4</f>
        <v>36.799999999999997</v>
      </c>
      <c r="M13" s="54">
        <f>L13-C13</f>
        <v>-1830.2</v>
      </c>
      <c r="N13" s="172"/>
      <c r="O13" s="52"/>
    </row>
    <row r="14" spans="1:15" x14ac:dyDescent="0.3">
      <c r="A14" s="51" t="s">
        <v>110</v>
      </c>
      <c r="B14" s="52"/>
      <c r="C14" s="72">
        <f>SUM(C11:C13)</f>
        <v>26367</v>
      </c>
      <c r="D14" s="52"/>
      <c r="E14" s="52"/>
      <c r="F14" s="52"/>
      <c r="G14" s="52"/>
      <c r="H14" s="52"/>
      <c r="I14" s="52"/>
      <c r="J14" s="64"/>
      <c r="K14" s="52"/>
      <c r="L14" s="166">
        <f>SUM(L11:L13)</f>
        <v>13929.88</v>
      </c>
      <c r="M14" s="54">
        <f>L14-C14</f>
        <v>-12437.12</v>
      </c>
      <c r="N14" s="172"/>
      <c r="O14" s="52"/>
    </row>
    <row r="15" spans="1:15" x14ac:dyDescent="0.3">
      <c r="A15" s="51" t="s">
        <v>208</v>
      </c>
      <c r="B15" s="52"/>
      <c r="C15" s="71">
        <f>B9</f>
        <v>-13752.15</v>
      </c>
      <c r="D15" s="52"/>
      <c r="E15" s="52"/>
      <c r="F15" s="52"/>
      <c r="G15" s="52"/>
      <c r="H15" s="52"/>
      <c r="I15" s="52"/>
      <c r="J15" s="64"/>
      <c r="K15" s="52"/>
      <c r="L15" s="164">
        <f>Reconciliation!G21</f>
        <v>30185.360000000001</v>
      </c>
      <c r="M15" s="54">
        <f>L15-C15</f>
        <v>43937.51</v>
      </c>
      <c r="N15" s="172"/>
      <c r="O15" s="52"/>
    </row>
    <row r="16" spans="1:15" x14ac:dyDescent="0.3">
      <c r="A16" s="51" t="s">
        <v>224</v>
      </c>
      <c r="B16" s="52"/>
      <c r="C16" s="73">
        <f>SUM(C14:C15)</f>
        <v>12614.85</v>
      </c>
      <c r="D16" s="52"/>
      <c r="E16" s="52"/>
      <c r="F16" s="52"/>
      <c r="G16" s="52"/>
      <c r="H16" s="52"/>
      <c r="I16" s="52"/>
      <c r="J16" s="64"/>
      <c r="K16" s="52"/>
      <c r="L16" s="167">
        <f>SUM(L14:L15)</f>
        <v>44115.24</v>
      </c>
      <c r="M16" s="54">
        <f>L16-C16</f>
        <v>31500.39</v>
      </c>
      <c r="N16" s="172"/>
      <c r="O16" s="52"/>
    </row>
    <row r="17" spans="1:15" ht="28.8" x14ac:dyDescent="0.3">
      <c r="A17" s="51" t="s">
        <v>228</v>
      </c>
      <c r="B17" s="52"/>
      <c r="C17" s="71">
        <f>J97</f>
        <v>51078</v>
      </c>
      <c r="D17" s="52"/>
      <c r="E17" s="52"/>
      <c r="F17" s="52"/>
      <c r="G17" s="52"/>
      <c r="H17" s="52"/>
      <c r="I17" s="52"/>
      <c r="J17" s="64"/>
      <c r="K17" s="52"/>
      <c r="L17" s="163"/>
      <c r="M17" s="54">
        <f t="shared" si="0"/>
        <v>0</v>
      </c>
      <c r="N17" s="172"/>
      <c r="O17" s="52"/>
    </row>
    <row r="18" spans="1:15" ht="29.4" thickBot="1" x14ac:dyDescent="0.35">
      <c r="A18" s="51" t="s">
        <v>232</v>
      </c>
      <c r="B18" s="52"/>
      <c r="C18" s="76">
        <f>C16-C17</f>
        <v>-38463.15</v>
      </c>
      <c r="D18" s="52"/>
      <c r="E18" s="52"/>
      <c r="F18" s="52"/>
      <c r="G18" s="52"/>
      <c r="H18" s="52"/>
      <c r="I18" s="52"/>
      <c r="J18" s="64"/>
      <c r="K18" s="52"/>
      <c r="L18" s="163"/>
      <c r="M18" s="54">
        <f t="shared" si="0"/>
        <v>0</v>
      </c>
      <c r="N18" s="172"/>
      <c r="O18" s="52"/>
    </row>
    <row r="19" spans="1:15" ht="18" x14ac:dyDescent="0.35">
      <c r="A19" s="78"/>
      <c r="B19" s="55"/>
      <c r="C19" s="71"/>
      <c r="D19" s="52"/>
      <c r="E19" s="52"/>
      <c r="F19" s="52"/>
      <c r="G19" s="52"/>
      <c r="H19" s="52"/>
      <c r="I19" s="52"/>
      <c r="J19" s="64"/>
      <c r="K19" s="52"/>
      <c r="L19" s="163"/>
      <c r="M19" s="54">
        <f t="shared" si="0"/>
        <v>0</v>
      </c>
      <c r="N19" s="172"/>
      <c r="O19" s="52"/>
    </row>
    <row r="20" spans="1:15" ht="18" hidden="1" x14ac:dyDescent="0.35">
      <c r="A20" s="79"/>
      <c r="B20" s="29"/>
      <c r="C20" s="52"/>
      <c r="D20" s="52"/>
      <c r="E20" s="52"/>
      <c r="F20" s="52"/>
      <c r="G20" s="52"/>
      <c r="H20" s="52"/>
      <c r="I20" s="52"/>
      <c r="J20" s="64"/>
      <c r="K20" s="52"/>
      <c r="L20" s="163"/>
      <c r="M20" s="54">
        <f t="shared" si="0"/>
        <v>0</v>
      </c>
      <c r="N20" s="172"/>
      <c r="O20" s="52"/>
    </row>
    <row r="21" spans="1:15" x14ac:dyDescent="0.3">
      <c r="A21" s="50"/>
      <c r="B21" s="52"/>
      <c r="C21" s="52"/>
      <c r="D21" s="52"/>
      <c r="E21" s="52"/>
      <c r="F21" s="52"/>
      <c r="G21" s="52"/>
      <c r="H21" s="52"/>
      <c r="I21" s="52"/>
      <c r="J21" s="64"/>
      <c r="K21" s="52"/>
      <c r="L21" s="163"/>
      <c r="M21" s="54">
        <f t="shared" si="0"/>
        <v>0</v>
      </c>
      <c r="N21" s="172"/>
      <c r="O21" s="52"/>
    </row>
    <row r="22" spans="1:15" x14ac:dyDescent="0.3">
      <c r="A22" s="51" t="s">
        <v>113</v>
      </c>
      <c r="B22" s="52"/>
      <c r="C22" s="52"/>
      <c r="D22" s="52"/>
      <c r="E22" s="52"/>
      <c r="F22" s="52"/>
      <c r="G22" s="52"/>
      <c r="H22" s="52"/>
      <c r="I22" s="52"/>
      <c r="J22" s="64"/>
      <c r="K22" s="52"/>
      <c r="L22" s="163"/>
      <c r="M22" s="54">
        <f t="shared" si="0"/>
        <v>0</v>
      </c>
      <c r="N22" s="172"/>
      <c r="O22" s="52"/>
    </row>
    <row r="23" spans="1:15" x14ac:dyDescent="0.3">
      <c r="A23" s="51" t="s">
        <v>114</v>
      </c>
      <c r="B23" s="52"/>
      <c r="C23" s="52"/>
      <c r="D23" s="52"/>
      <c r="E23" s="52"/>
      <c r="F23" s="52"/>
      <c r="G23" s="52"/>
      <c r="H23" s="52"/>
      <c r="I23" s="52"/>
      <c r="J23" s="64"/>
      <c r="K23" s="52"/>
      <c r="L23" s="163"/>
      <c r="M23" s="54">
        <f t="shared" si="0"/>
        <v>0</v>
      </c>
      <c r="N23" s="172"/>
      <c r="O23" s="52"/>
    </row>
    <row r="24" spans="1:15" x14ac:dyDescent="0.3">
      <c r="A24" s="50" t="s">
        <v>115</v>
      </c>
      <c r="B24" s="52"/>
      <c r="C24" s="52" t="s">
        <v>206</v>
      </c>
      <c r="D24" s="52"/>
      <c r="E24" s="52">
        <v>9360</v>
      </c>
      <c r="F24" s="57">
        <v>3305</v>
      </c>
      <c r="G24" s="52">
        <v>2360</v>
      </c>
      <c r="H24" s="52">
        <f t="shared" ref="H24:H90" si="1">SUM(E24-(F24+G24))</f>
        <v>3695</v>
      </c>
      <c r="I24" s="52"/>
      <c r="J24" s="64">
        <v>7904</v>
      </c>
      <c r="K24" s="52"/>
      <c r="L24" s="165">
        <f>Payments!M103</f>
        <v>0</v>
      </c>
      <c r="M24" s="54">
        <f>L24-J24</f>
        <v>-7904</v>
      </c>
      <c r="N24" s="172">
        <v>8900</v>
      </c>
      <c r="O24" s="52" t="s">
        <v>369</v>
      </c>
    </row>
    <row r="25" spans="1:15" x14ac:dyDescent="0.3">
      <c r="A25" s="37" t="s">
        <v>233</v>
      </c>
      <c r="B25" s="52"/>
      <c r="C25" s="52"/>
      <c r="D25" s="52"/>
      <c r="E25" s="52">
        <v>1500</v>
      </c>
      <c r="F25" s="57">
        <f>Payments!Z3+Payments!Z8+Payments!Z12+Payments!Z17+Payments!Z31</f>
        <v>2287.7439999999997</v>
      </c>
      <c r="G25" s="52">
        <v>36</v>
      </c>
      <c r="H25" s="52">
        <f t="shared" si="1"/>
        <v>-823.74399999999969</v>
      </c>
      <c r="I25" s="52"/>
      <c r="J25" s="64">
        <v>0</v>
      </c>
      <c r="K25" s="52"/>
      <c r="L25" s="163"/>
      <c r="M25" s="54">
        <f t="shared" ref="M25:M88" si="2">L25-J25</f>
        <v>0</v>
      </c>
      <c r="N25" s="172"/>
      <c r="O25" s="52"/>
    </row>
    <row r="26" spans="1:15" x14ac:dyDescent="0.3">
      <c r="A26" s="50" t="s">
        <v>117</v>
      </c>
      <c r="B26" s="52"/>
      <c r="C26" s="52"/>
      <c r="D26" s="52"/>
      <c r="E26" s="52">
        <v>1188</v>
      </c>
      <c r="F26" s="57">
        <v>911.15</v>
      </c>
      <c r="G26" s="52">
        <v>600</v>
      </c>
      <c r="H26" s="52">
        <f t="shared" si="1"/>
        <v>-323.15000000000009</v>
      </c>
      <c r="I26" s="52"/>
      <c r="J26" s="64">
        <v>1976</v>
      </c>
      <c r="K26" s="52"/>
      <c r="L26" s="165">
        <f>Payments!N103</f>
        <v>0</v>
      </c>
      <c r="M26" s="54">
        <f t="shared" si="2"/>
        <v>-1976</v>
      </c>
      <c r="N26" s="172">
        <v>2080</v>
      </c>
      <c r="O26" s="52"/>
    </row>
    <row r="27" spans="1:15" x14ac:dyDescent="0.3">
      <c r="A27" s="50" t="s">
        <v>118</v>
      </c>
      <c r="B27" s="52"/>
      <c r="C27" s="52"/>
      <c r="D27" s="52"/>
      <c r="E27" s="52">
        <v>31</v>
      </c>
      <c r="F27" s="52">
        <v>0</v>
      </c>
      <c r="G27" s="52">
        <v>0</v>
      </c>
      <c r="H27" s="52">
        <f t="shared" si="1"/>
        <v>31</v>
      </c>
      <c r="I27" s="52"/>
      <c r="J27" s="65">
        <v>35</v>
      </c>
      <c r="K27" s="52"/>
      <c r="L27" s="163"/>
      <c r="M27" s="54">
        <f t="shared" si="2"/>
        <v>-35</v>
      </c>
      <c r="N27" s="172"/>
      <c r="O27" s="52"/>
    </row>
    <row r="28" spans="1:15" x14ac:dyDescent="0.3">
      <c r="A28" s="50" t="s">
        <v>119</v>
      </c>
      <c r="B28" s="52" t="s">
        <v>207</v>
      </c>
      <c r="C28" s="52"/>
      <c r="D28" s="52"/>
      <c r="E28" s="52">
        <v>280</v>
      </c>
      <c r="F28" s="57"/>
      <c r="G28" s="52">
        <v>0</v>
      </c>
      <c r="H28" s="52">
        <v>120</v>
      </c>
      <c r="I28" s="52"/>
      <c r="J28" s="64">
        <v>318</v>
      </c>
      <c r="K28" s="52"/>
      <c r="L28" s="163"/>
      <c r="M28" s="54">
        <f t="shared" si="2"/>
        <v>-318</v>
      </c>
      <c r="N28" s="172">
        <v>318</v>
      </c>
      <c r="O28" s="52"/>
    </row>
    <row r="29" spans="1:15" x14ac:dyDescent="0.3">
      <c r="A29" s="50" t="s">
        <v>120</v>
      </c>
      <c r="B29" s="52"/>
      <c r="C29" s="52"/>
      <c r="D29" s="52"/>
      <c r="E29" s="52">
        <v>350</v>
      </c>
      <c r="F29" s="57">
        <v>330</v>
      </c>
      <c r="G29" s="52">
        <v>0</v>
      </c>
      <c r="H29" s="52">
        <f t="shared" si="1"/>
        <v>20</v>
      </c>
      <c r="I29" s="52"/>
      <c r="J29" s="65">
        <v>350</v>
      </c>
      <c r="K29" s="52"/>
      <c r="L29" s="165">
        <v>30</v>
      </c>
      <c r="M29" s="54">
        <f t="shared" si="2"/>
        <v>-320</v>
      </c>
      <c r="N29" s="173">
        <v>700</v>
      </c>
      <c r="O29" s="52" t="s">
        <v>371</v>
      </c>
    </row>
    <row r="30" spans="1:15" x14ac:dyDescent="0.3">
      <c r="A30" s="50" t="s">
        <v>121</v>
      </c>
      <c r="B30" s="52"/>
      <c r="C30" s="52"/>
      <c r="D30" s="52"/>
      <c r="E30" s="52">
        <v>200</v>
      </c>
      <c r="F30" s="52"/>
      <c r="G30" s="52">
        <v>0</v>
      </c>
      <c r="H30" s="52">
        <f t="shared" si="1"/>
        <v>200</v>
      </c>
      <c r="I30" s="52"/>
      <c r="J30" s="65">
        <v>55</v>
      </c>
      <c r="L30" s="163"/>
      <c r="M30" s="54">
        <f t="shared" si="2"/>
        <v>-55</v>
      </c>
      <c r="N30" s="172"/>
      <c r="O30" s="52"/>
    </row>
    <row r="31" spans="1:15" x14ac:dyDescent="0.3">
      <c r="A31" s="50" t="s">
        <v>122</v>
      </c>
      <c r="B31" s="52"/>
      <c r="C31" s="52"/>
      <c r="D31" s="52"/>
      <c r="E31" s="52">
        <v>50</v>
      </c>
      <c r="F31" s="57">
        <v>111.14</v>
      </c>
      <c r="G31" s="52">
        <v>0</v>
      </c>
      <c r="H31" s="52">
        <f t="shared" si="1"/>
        <v>-61.14</v>
      </c>
      <c r="I31" s="52"/>
      <c r="J31" s="65">
        <v>50</v>
      </c>
      <c r="K31" s="52"/>
      <c r="L31" s="165">
        <f>Payments!I103</f>
        <v>0</v>
      </c>
      <c r="M31" s="54">
        <f t="shared" si="2"/>
        <v>-50</v>
      </c>
      <c r="N31" s="173">
        <v>35</v>
      </c>
      <c r="O31" s="52"/>
    </row>
    <row r="32" spans="1:15" x14ac:dyDescent="0.3">
      <c r="A32" s="50" t="s">
        <v>123</v>
      </c>
      <c r="B32" s="52"/>
      <c r="C32" s="52"/>
      <c r="D32" s="52"/>
      <c r="E32" s="52">
        <v>250</v>
      </c>
      <c r="F32" s="57">
        <f>Payments!Z36</f>
        <v>77.328000000000003</v>
      </c>
      <c r="G32" s="52">
        <v>80</v>
      </c>
      <c r="H32" s="52">
        <f t="shared" si="1"/>
        <v>92.671999999999997</v>
      </c>
      <c r="I32" s="52"/>
      <c r="J32" s="65">
        <v>250</v>
      </c>
      <c r="K32" s="52"/>
      <c r="L32" s="163"/>
      <c r="M32" s="54">
        <f t="shared" si="2"/>
        <v>-250</v>
      </c>
      <c r="N32" s="173">
        <v>135</v>
      </c>
      <c r="O32" s="52"/>
    </row>
    <row r="33" spans="1:15" x14ac:dyDescent="0.3">
      <c r="A33" s="50" t="s">
        <v>124</v>
      </c>
      <c r="B33" s="52"/>
      <c r="C33" s="52"/>
      <c r="D33" s="52"/>
      <c r="E33" s="52">
        <v>0</v>
      </c>
      <c r="F33" s="52">
        <v>0</v>
      </c>
      <c r="G33" s="52">
        <v>120</v>
      </c>
      <c r="H33" s="52">
        <f t="shared" si="1"/>
        <v>-120</v>
      </c>
      <c r="I33" s="52"/>
      <c r="J33" s="65">
        <v>100</v>
      </c>
      <c r="K33" s="52"/>
      <c r="L33" s="163"/>
      <c r="M33" s="54">
        <f t="shared" si="2"/>
        <v>-100</v>
      </c>
      <c r="N33" s="173">
        <v>120</v>
      </c>
      <c r="O33" s="52" t="s">
        <v>370</v>
      </c>
    </row>
    <row r="34" spans="1:15" x14ac:dyDescent="0.3">
      <c r="A34" s="50" t="s">
        <v>125</v>
      </c>
      <c r="B34" s="52"/>
      <c r="C34" s="52"/>
      <c r="D34" s="52"/>
      <c r="E34" s="52">
        <v>300</v>
      </c>
      <c r="F34" s="57">
        <f>Payments!Z6</f>
        <v>76.788000000000011</v>
      </c>
      <c r="G34" s="52">
        <v>66</v>
      </c>
      <c r="H34" s="52">
        <f t="shared" si="1"/>
        <v>157.21199999999999</v>
      </c>
      <c r="I34" s="52"/>
      <c r="J34" s="65">
        <v>500</v>
      </c>
      <c r="K34" s="52"/>
      <c r="L34" s="165">
        <v>130</v>
      </c>
      <c r="M34" s="54">
        <f t="shared" si="2"/>
        <v>-370</v>
      </c>
      <c r="N34" s="173">
        <v>600</v>
      </c>
      <c r="O34" s="52"/>
    </row>
    <row r="35" spans="1:15" x14ac:dyDescent="0.3">
      <c r="A35" s="50" t="s">
        <v>126</v>
      </c>
      <c r="B35" s="52"/>
      <c r="C35" s="52"/>
      <c r="D35" s="52"/>
      <c r="E35" s="52">
        <v>1000</v>
      </c>
      <c r="F35" s="57">
        <f>Payments!Z10</f>
        <v>45.108000000000004</v>
      </c>
      <c r="G35" s="52">
        <v>0</v>
      </c>
      <c r="H35" s="52">
        <f t="shared" si="1"/>
        <v>954.89200000000005</v>
      </c>
      <c r="I35" s="52"/>
      <c r="J35" s="65">
        <v>1250</v>
      </c>
      <c r="K35" s="52"/>
      <c r="L35" s="163">
        <v>908.48</v>
      </c>
      <c r="M35" s="54">
        <f t="shared" si="2"/>
        <v>-341.52</v>
      </c>
      <c r="N35" s="173">
        <v>1500</v>
      </c>
      <c r="O35" s="52" t="s">
        <v>379</v>
      </c>
    </row>
    <row r="36" spans="1:15" x14ac:dyDescent="0.3">
      <c r="A36" s="50" t="s">
        <v>127</v>
      </c>
      <c r="B36" s="52"/>
      <c r="C36" s="52"/>
      <c r="D36" s="52"/>
      <c r="E36" s="52">
        <v>0</v>
      </c>
      <c r="F36" s="52">
        <v>0</v>
      </c>
      <c r="G36" s="52">
        <f t="shared" ref="G36:G37" si="3">SUM(E36-F36)</f>
        <v>0</v>
      </c>
      <c r="H36" s="52">
        <f t="shared" si="1"/>
        <v>0</v>
      </c>
      <c r="I36" s="52"/>
      <c r="J36" s="64"/>
      <c r="K36" s="52"/>
      <c r="L36" s="163"/>
      <c r="M36" s="54">
        <f t="shared" si="2"/>
        <v>0</v>
      </c>
      <c r="N36" s="172"/>
      <c r="O36" s="52"/>
    </row>
    <row r="37" spans="1:15" x14ac:dyDescent="0.3">
      <c r="A37" s="50" t="s">
        <v>128</v>
      </c>
      <c r="B37" s="52"/>
      <c r="C37" s="52"/>
      <c r="D37" s="52"/>
      <c r="E37" s="52">
        <v>80</v>
      </c>
      <c r="F37" s="52">
        <v>0</v>
      </c>
      <c r="G37" s="52">
        <f t="shared" si="3"/>
        <v>80</v>
      </c>
      <c r="H37" s="52">
        <f t="shared" si="1"/>
        <v>0</v>
      </c>
      <c r="I37" s="52"/>
      <c r="J37" s="65">
        <v>80</v>
      </c>
      <c r="K37" s="52"/>
      <c r="L37" s="163"/>
      <c r="M37" s="54">
        <f t="shared" si="2"/>
        <v>-80</v>
      </c>
      <c r="N37" s="172">
        <v>85</v>
      </c>
      <c r="O37" s="52"/>
    </row>
    <row r="38" spans="1:15" x14ac:dyDescent="0.3">
      <c r="A38" s="50" t="s">
        <v>129</v>
      </c>
      <c r="B38" s="52"/>
      <c r="C38" s="52"/>
      <c r="D38" s="52"/>
      <c r="E38" s="52">
        <v>25</v>
      </c>
      <c r="F38" s="52">
        <v>0</v>
      </c>
      <c r="G38" s="52">
        <v>40</v>
      </c>
      <c r="H38" s="52">
        <f t="shared" si="1"/>
        <v>-15</v>
      </c>
      <c r="I38" s="52"/>
      <c r="J38" s="65">
        <v>30</v>
      </c>
      <c r="K38" s="52"/>
      <c r="L38" s="163"/>
      <c r="M38" s="54">
        <f t="shared" si="2"/>
        <v>-30</v>
      </c>
      <c r="N38" s="172">
        <v>45</v>
      </c>
      <c r="O38" s="52"/>
    </row>
    <row r="39" spans="1:15" x14ac:dyDescent="0.3">
      <c r="A39" s="50" t="s">
        <v>243</v>
      </c>
      <c r="B39" s="52"/>
      <c r="C39" s="52"/>
      <c r="D39" s="52"/>
      <c r="E39" s="52">
        <v>200</v>
      </c>
      <c r="F39" s="52">
        <v>0</v>
      </c>
      <c r="G39" s="52">
        <v>200</v>
      </c>
      <c r="H39" s="52">
        <f t="shared" si="1"/>
        <v>0</v>
      </c>
      <c r="I39" s="52"/>
      <c r="J39" s="64">
        <v>200</v>
      </c>
      <c r="K39" s="52"/>
      <c r="L39" s="163"/>
      <c r="M39" s="54">
        <f t="shared" si="2"/>
        <v>-200</v>
      </c>
      <c r="N39" s="172">
        <v>200</v>
      </c>
      <c r="O39" s="52"/>
    </row>
    <row r="40" spans="1:15" x14ac:dyDescent="0.3">
      <c r="A40" s="50"/>
      <c r="B40" s="52"/>
      <c r="C40" s="52"/>
      <c r="D40" s="52"/>
      <c r="E40" s="52"/>
      <c r="F40" s="52"/>
      <c r="G40" s="52"/>
      <c r="H40" s="52">
        <f t="shared" si="1"/>
        <v>0</v>
      </c>
      <c r="I40" s="52"/>
      <c r="J40" s="64"/>
      <c r="K40" s="52"/>
      <c r="L40" s="163"/>
      <c r="M40" s="54">
        <f t="shared" si="2"/>
        <v>0</v>
      </c>
      <c r="N40" s="172"/>
      <c r="O40" s="52"/>
    </row>
    <row r="41" spans="1:15" x14ac:dyDescent="0.3">
      <c r="A41" s="51" t="s">
        <v>168</v>
      </c>
      <c r="B41" s="52"/>
      <c r="C41" s="52"/>
      <c r="D41" s="52"/>
      <c r="E41" s="52"/>
      <c r="F41" s="52"/>
      <c r="G41" s="52"/>
      <c r="H41" s="52">
        <f t="shared" si="1"/>
        <v>0</v>
      </c>
      <c r="I41" s="52"/>
      <c r="J41" s="64"/>
      <c r="K41" s="52"/>
      <c r="L41" s="163"/>
      <c r="M41" s="54">
        <f t="shared" si="2"/>
        <v>0</v>
      </c>
      <c r="N41" s="172"/>
      <c r="O41" s="52"/>
    </row>
    <row r="42" spans="1:15" x14ac:dyDescent="0.3">
      <c r="A42" s="50" t="s">
        <v>132</v>
      </c>
      <c r="B42" s="52"/>
      <c r="C42" s="52"/>
      <c r="D42" s="52"/>
      <c r="E42" s="52">
        <v>240</v>
      </c>
      <c r="F42" s="57">
        <f>SUM(Payments!Z22:Z29)</f>
        <v>1057.5619999999999</v>
      </c>
      <c r="G42" s="52">
        <v>0</v>
      </c>
      <c r="H42" s="52">
        <f t="shared" si="1"/>
        <v>-817.5619999999999</v>
      </c>
      <c r="I42" s="52"/>
      <c r="J42" s="64">
        <v>240</v>
      </c>
      <c r="K42" s="52" t="s">
        <v>215</v>
      </c>
      <c r="L42" s="165">
        <f>Payments!U103</f>
        <v>0</v>
      </c>
      <c r="M42" s="54">
        <f t="shared" si="2"/>
        <v>-240</v>
      </c>
      <c r="N42" s="172">
        <v>240</v>
      </c>
      <c r="O42" s="52"/>
    </row>
    <row r="43" spans="1:15" x14ac:dyDescent="0.3">
      <c r="A43" s="37" t="s">
        <v>234</v>
      </c>
      <c r="B43" s="52"/>
      <c r="C43" s="52"/>
      <c r="D43" s="52"/>
      <c r="E43" s="52">
        <v>350</v>
      </c>
      <c r="F43" s="57">
        <f>Payments!Z4</f>
        <v>180</v>
      </c>
      <c r="G43" s="52">
        <v>0</v>
      </c>
      <c r="H43" s="52">
        <f t="shared" si="1"/>
        <v>170</v>
      </c>
      <c r="I43" s="52"/>
      <c r="J43" s="64">
        <v>250</v>
      </c>
      <c r="K43" s="52"/>
      <c r="L43" s="163"/>
      <c r="M43" s="54">
        <f t="shared" si="2"/>
        <v>-250</v>
      </c>
      <c r="N43" s="172">
        <v>250</v>
      </c>
      <c r="O43" s="52"/>
    </row>
    <row r="44" spans="1:15" x14ac:dyDescent="0.3">
      <c r="A44" s="50" t="s">
        <v>134</v>
      </c>
      <c r="B44" s="52"/>
      <c r="C44" s="52"/>
      <c r="D44" s="52"/>
      <c r="E44" s="52">
        <v>120</v>
      </c>
      <c r="F44" s="57">
        <f>Payments!Z34</f>
        <v>350</v>
      </c>
      <c r="G44" s="52">
        <v>0</v>
      </c>
      <c r="H44" s="52">
        <f t="shared" si="1"/>
        <v>-230</v>
      </c>
      <c r="I44" s="52"/>
      <c r="J44" s="64">
        <v>120</v>
      </c>
      <c r="K44" s="52"/>
      <c r="L44" s="163"/>
      <c r="M44" s="54">
        <f t="shared" si="2"/>
        <v>-120</v>
      </c>
      <c r="N44" s="172">
        <v>85</v>
      </c>
      <c r="O44" s="52"/>
    </row>
    <row r="45" spans="1:15" x14ac:dyDescent="0.3">
      <c r="A45" s="37" t="s">
        <v>235</v>
      </c>
      <c r="B45" s="52"/>
      <c r="C45" s="52"/>
      <c r="D45" s="52"/>
      <c r="E45" s="52">
        <v>300</v>
      </c>
      <c r="F45" s="52">
        <v>0</v>
      </c>
      <c r="G45" s="52">
        <v>120</v>
      </c>
      <c r="H45" s="52">
        <f t="shared" si="1"/>
        <v>180</v>
      </c>
      <c r="I45" s="52"/>
      <c r="J45" s="65">
        <v>330</v>
      </c>
      <c r="K45" s="52" t="s">
        <v>212</v>
      </c>
      <c r="L45" s="163"/>
      <c r="M45" s="54">
        <f t="shared" si="2"/>
        <v>-330</v>
      </c>
      <c r="N45" s="172">
        <v>300</v>
      </c>
      <c r="O45" s="52"/>
    </row>
    <row r="46" spans="1:15" x14ac:dyDescent="0.3">
      <c r="A46" s="50" t="s">
        <v>136</v>
      </c>
      <c r="B46" s="52"/>
      <c r="C46" s="52"/>
      <c r="D46" s="52"/>
      <c r="E46" s="52">
        <v>500</v>
      </c>
      <c r="F46" s="57" t="e">
        <f>Payments!#REF!</f>
        <v>#REF!</v>
      </c>
      <c r="G46" s="52">
        <v>150</v>
      </c>
      <c r="H46" s="52" t="e">
        <f t="shared" si="1"/>
        <v>#REF!</v>
      </c>
      <c r="I46" s="52"/>
      <c r="J46" s="65">
        <v>500</v>
      </c>
      <c r="K46" s="52"/>
      <c r="L46" s="165">
        <f>Payments!T103</f>
        <v>0</v>
      </c>
      <c r="M46" s="54">
        <f t="shared" si="2"/>
        <v>-500</v>
      </c>
      <c r="N46" s="172">
        <v>1200</v>
      </c>
      <c r="O46" s="52"/>
    </row>
    <row r="47" spans="1:15" x14ac:dyDescent="0.3">
      <c r="A47" s="37" t="s">
        <v>236</v>
      </c>
      <c r="B47" s="52"/>
      <c r="C47" s="52"/>
      <c r="D47" s="52"/>
      <c r="E47" s="52">
        <v>500</v>
      </c>
      <c r="F47" s="52">
        <v>0</v>
      </c>
      <c r="G47" s="52">
        <f t="shared" ref="G47:G53" si="4">SUM(E47-F47)</f>
        <v>500</v>
      </c>
      <c r="H47" s="52">
        <f t="shared" si="1"/>
        <v>0</v>
      </c>
      <c r="I47" s="52"/>
      <c r="J47" s="65">
        <v>550</v>
      </c>
      <c r="K47" s="52"/>
      <c r="L47" s="163"/>
      <c r="M47" s="54">
        <f t="shared" si="2"/>
        <v>-550</v>
      </c>
      <c r="N47" s="172">
        <v>300</v>
      </c>
      <c r="O47" s="52"/>
    </row>
    <row r="48" spans="1:15" x14ac:dyDescent="0.3">
      <c r="A48" s="37" t="s">
        <v>237</v>
      </c>
      <c r="B48" s="52"/>
      <c r="C48" s="52"/>
      <c r="D48" s="52"/>
      <c r="E48" s="52">
        <v>500</v>
      </c>
      <c r="F48" s="52">
        <v>0</v>
      </c>
      <c r="G48" s="52">
        <f t="shared" si="4"/>
        <v>500</v>
      </c>
      <c r="H48" s="52">
        <f t="shared" si="1"/>
        <v>0</v>
      </c>
      <c r="I48" s="52"/>
      <c r="J48" s="65">
        <v>500</v>
      </c>
      <c r="K48" s="52"/>
      <c r="L48" s="163"/>
      <c r="M48" s="54">
        <f t="shared" si="2"/>
        <v>-500</v>
      </c>
      <c r="N48" s="172">
        <v>600</v>
      </c>
      <c r="O48" s="52"/>
    </row>
    <row r="49" spans="1:15" x14ac:dyDescent="0.3">
      <c r="A49" s="50" t="s">
        <v>139</v>
      </c>
      <c r="B49" s="52"/>
      <c r="C49" s="52"/>
      <c r="D49" s="52"/>
      <c r="E49" s="52">
        <v>1000</v>
      </c>
      <c r="F49" s="52">
        <v>0</v>
      </c>
      <c r="G49" s="52">
        <v>0</v>
      </c>
      <c r="H49" s="52">
        <f t="shared" si="1"/>
        <v>1000</v>
      </c>
      <c r="I49" s="52"/>
      <c r="J49" s="65">
        <v>500</v>
      </c>
      <c r="K49" s="52"/>
      <c r="L49" s="163"/>
      <c r="M49" s="54">
        <f t="shared" si="2"/>
        <v>-500</v>
      </c>
      <c r="N49" s="172">
        <v>500</v>
      </c>
      <c r="O49" s="52"/>
    </row>
    <row r="50" spans="1:15" x14ac:dyDescent="0.3">
      <c r="A50" s="50" t="s">
        <v>140</v>
      </c>
      <c r="B50" s="52"/>
      <c r="C50" s="52"/>
      <c r="D50" s="52"/>
      <c r="E50" s="52">
        <v>500</v>
      </c>
      <c r="F50" s="52">
        <v>0</v>
      </c>
      <c r="G50" s="52">
        <v>0</v>
      </c>
      <c r="H50" s="52">
        <f t="shared" si="1"/>
        <v>500</v>
      </c>
      <c r="I50" s="52"/>
      <c r="J50" s="65">
        <v>240</v>
      </c>
      <c r="K50" s="52"/>
      <c r="L50" s="163"/>
      <c r="M50" s="54">
        <f t="shared" si="2"/>
        <v>-240</v>
      </c>
      <c r="N50" s="172">
        <v>500</v>
      </c>
      <c r="O50" s="52"/>
    </row>
    <row r="51" spans="1:15" x14ac:dyDescent="0.3">
      <c r="A51" s="50" t="s">
        <v>141</v>
      </c>
      <c r="B51" s="52"/>
      <c r="C51" s="52"/>
      <c r="D51" s="52"/>
      <c r="E51" s="52">
        <v>350</v>
      </c>
      <c r="F51" s="52">
        <v>0</v>
      </c>
      <c r="G51" s="52">
        <f t="shared" si="4"/>
        <v>350</v>
      </c>
      <c r="H51" s="52">
        <f t="shared" si="1"/>
        <v>0</v>
      </c>
      <c r="I51" s="52"/>
      <c r="J51" s="65">
        <v>350</v>
      </c>
      <c r="K51" s="52" t="s">
        <v>214</v>
      </c>
      <c r="L51" s="163"/>
      <c r="M51" s="54">
        <f t="shared" si="2"/>
        <v>-350</v>
      </c>
      <c r="N51" s="172">
        <v>360</v>
      </c>
      <c r="O51" s="52"/>
    </row>
    <row r="52" spans="1:15" x14ac:dyDescent="0.3">
      <c r="A52" s="50" t="s">
        <v>11</v>
      </c>
      <c r="B52" s="52"/>
      <c r="C52" s="52"/>
      <c r="D52" s="52"/>
      <c r="E52" s="52">
        <v>500</v>
      </c>
      <c r="F52" s="57">
        <v>231.96</v>
      </c>
      <c r="G52" s="52">
        <f t="shared" si="4"/>
        <v>268.03999999999996</v>
      </c>
      <c r="H52" s="52">
        <f t="shared" si="1"/>
        <v>0</v>
      </c>
      <c r="I52" s="52"/>
      <c r="J52" s="65">
        <v>550</v>
      </c>
      <c r="K52" s="52" t="s">
        <v>212</v>
      </c>
      <c r="L52" s="165">
        <f>Payments!S103</f>
        <v>0</v>
      </c>
      <c r="M52" s="54">
        <f t="shared" si="2"/>
        <v>-550</v>
      </c>
      <c r="N52" s="172">
        <v>1750</v>
      </c>
      <c r="O52" s="52" t="s">
        <v>366</v>
      </c>
    </row>
    <row r="53" spans="1:15" x14ac:dyDescent="0.3">
      <c r="A53" s="50" t="s">
        <v>142</v>
      </c>
      <c r="B53" s="52"/>
      <c r="C53" s="52"/>
      <c r="D53" s="52"/>
      <c r="E53" s="52">
        <v>76</v>
      </c>
      <c r="F53" s="57">
        <f>Payments!Z19</f>
        <v>733.66</v>
      </c>
      <c r="G53" s="52">
        <f t="shared" si="4"/>
        <v>-657.66</v>
      </c>
      <c r="H53" s="52">
        <f t="shared" si="1"/>
        <v>0</v>
      </c>
      <c r="I53" s="52"/>
      <c r="J53" s="65">
        <v>76</v>
      </c>
      <c r="K53" s="52"/>
      <c r="L53" s="163"/>
      <c r="M53" s="54">
        <f t="shared" si="2"/>
        <v>-76</v>
      </c>
      <c r="N53" s="172"/>
      <c r="O53" s="52"/>
    </row>
    <row r="54" spans="1:15" x14ac:dyDescent="0.3">
      <c r="A54" s="37" t="s">
        <v>202</v>
      </c>
      <c r="B54" s="52"/>
      <c r="C54" s="52"/>
      <c r="D54" s="52"/>
      <c r="E54" s="52"/>
      <c r="F54" s="52"/>
      <c r="G54" s="52"/>
      <c r="H54" s="52">
        <f t="shared" si="1"/>
        <v>0</v>
      </c>
      <c r="I54" s="52"/>
      <c r="J54" s="64"/>
      <c r="K54" s="52"/>
      <c r="L54" s="163"/>
      <c r="M54" s="54">
        <f t="shared" si="2"/>
        <v>0</v>
      </c>
      <c r="N54" s="172"/>
      <c r="O54" s="52"/>
    </row>
    <row r="55" spans="1:15" x14ac:dyDescent="0.3">
      <c r="A55" s="37"/>
      <c r="B55" s="52"/>
      <c r="C55" s="52"/>
      <c r="D55" s="52"/>
      <c r="E55" s="52"/>
      <c r="F55" s="52"/>
      <c r="G55" s="52"/>
      <c r="H55" s="52"/>
      <c r="I55" s="52"/>
      <c r="J55" s="64"/>
      <c r="K55" s="52"/>
      <c r="L55" s="163"/>
      <c r="M55" s="54">
        <f t="shared" si="2"/>
        <v>0</v>
      </c>
      <c r="N55" s="172"/>
      <c r="O55" s="52"/>
    </row>
    <row r="56" spans="1:15" x14ac:dyDescent="0.3">
      <c r="A56" s="51" t="s">
        <v>143</v>
      </c>
      <c r="B56" s="52"/>
      <c r="C56" s="52"/>
      <c r="D56" s="52"/>
      <c r="E56" s="52"/>
      <c r="F56" s="52"/>
      <c r="G56" s="52"/>
      <c r="H56" s="52">
        <f t="shared" si="1"/>
        <v>0</v>
      </c>
      <c r="I56" s="52"/>
      <c r="J56" s="64"/>
      <c r="K56" s="52"/>
      <c r="L56" s="163"/>
      <c r="M56" s="54">
        <f t="shared" si="2"/>
        <v>0</v>
      </c>
      <c r="N56" s="172"/>
      <c r="O56" s="52"/>
    </row>
    <row r="57" spans="1:15" x14ac:dyDescent="0.3">
      <c r="A57" s="50" t="s">
        <v>14</v>
      </c>
      <c r="B57" s="52"/>
      <c r="C57" s="52"/>
      <c r="D57" s="52"/>
      <c r="E57" s="52">
        <v>750</v>
      </c>
      <c r="F57" s="57">
        <f>Payments!Z9</f>
        <v>29.89</v>
      </c>
      <c r="G57" s="52">
        <f>SUM(E57-F57)</f>
        <v>720.11</v>
      </c>
      <c r="H57" s="52">
        <f t="shared" si="1"/>
        <v>0</v>
      </c>
      <c r="I57" s="52"/>
      <c r="J57" s="65">
        <v>800</v>
      </c>
      <c r="K57" s="52"/>
      <c r="L57" s="163"/>
      <c r="M57" s="54">
        <f t="shared" si="2"/>
        <v>-800</v>
      </c>
      <c r="N57" s="172">
        <v>0</v>
      </c>
      <c r="O57" s="52"/>
    </row>
    <row r="58" spans="1:15" x14ac:dyDescent="0.3">
      <c r="A58" s="50"/>
      <c r="B58" s="52"/>
      <c r="C58" s="52"/>
      <c r="D58" s="52"/>
      <c r="E58" s="52"/>
      <c r="F58" s="52"/>
      <c r="G58" s="52"/>
      <c r="H58" s="52">
        <f t="shared" si="1"/>
        <v>0</v>
      </c>
      <c r="I58" s="52"/>
      <c r="J58" s="64"/>
      <c r="K58" s="52"/>
      <c r="L58" s="163"/>
      <c r="M58" s="54">
        <f t="shared" si="2"/>
        <v>0</v>
      </c>
      <c r="N58" s="172"/>
      <c r="O58" s="52"/>
    </row>
    <row r="59" spans="1:15" x14ac:dyDescent="0.3">
      <c r="A59" s="51" t="s">
        <v>144</v>
      </c>
      <c r="B59" s="52"/>
      <c r="C59" s="52"/>
      <c r="D59" s="52"/>
      <c r="E59" s="52"/>
      <c r="F59" s="52"/>
      <c r="G59" s="52"/>
      <c r="H59" s="52">
        <f t="shared" si="1"/>
        <v>0</v>
      </c>
      <c r="I59" s="52"/>
      <c r="J59" s="64"/>
      <c r="K59" s="52"/>
      <c r="L59" s="163"/>
      <c r="M59" s="54">
        <f t="shared" si="2"/>
        <v>0</v>
      </c>
      <c r="N59" s="172"/>
      <c r="O59" s="52"/>
    </row>
    <row r="60" spans="1:15" x14ac:dyDescent="0.3">
      <c r="A60" s="50" t="s">
        <v>145</v>
      </c>
      <c r="B60" s="52"/>
      <c r="C60" s="52"/>
      <c r="D60" s="52"/>
      <c r="E60" s="52">
        <v>30</v>
      </c>
      <c r="F60" s="52">
        <v>0</v>
      </c>
      <c r="G60" s="52">
        <v>160</v>
      </c>
      <c r="H60" s="52">
        <f t="shared" si="1"/>
        <v>-130</v>
      </c>
      <c r="I60" s="52"/>
      <c r="J60" s="64">
        <v>110</v>
      </c>
      <c r="K60" s="52"/>
      <c r="L60" s="168">
        <v>280</v>
      </c>
      <c r="M60" s="54">
        <f t="shared" si="2"/>
        <v>170</v>
      </c>
      <c r="N60" s="172">
        <v>330</v>
      </c>
      <c r="O60" s="52"/>
    </row>
    <row r="61" spans="1:15" x14ac:dyDescent="0.3">
      <c r="A61" s="50"/>
      <c r="B61" s="52"/>
      <c r="C61" s="52"/>
      <c r="D61" s="52"/>
      <c r="E61" s="52"/>
      <c r="F61" s="52"/>
      <c r="G61" s="52"/>
      <c r="H61" s="52">
        <f t="shared" si="1"/>
        <v>0</v>
      </c>
      <c r="I61" s="52"/>
      <c r="J61" s="64"/>
      <c r="K61" s="52"/>
      <c r="L61" s="163"/>
      <c r="M61" s="54">
        <f t="shared" si="2"/>
        <v>0</v>
      </c>
      <c r="N61" s="172"/>
      <c r="O61" s="52"/>
    </row>
    <row r="62" spans="1:15" x14ac:dyDescent="0.3">
      <c r="A62" s="51" t="s">
        <v>21</v>
      </c>
      <c r="B62" s="52"/>
      <c r="C62" s="52"/>
      <c r="D62" s="52"/>
      <c r="E62" s="52"/>
      <c r="F62" s="52"/>
      <c r="G62" s="52"/>
      <c r="H62" s="52">
        <f t="shared" si="1"/>
        <v>0</v>
      </c>
      <c r="I62" s="52"/>
      <c r="J62" s="64"/>
      <c r="K62" s="52"/>
      <c r="L62" s="163"/>
      <c r="M62" s="54">
        <f t="shared" si="2"/>
        <v>0</v>
      </c>
      <c r="N62" s="172"/>
      <c r="O62" s="52"/>
    </row>
    <row r="63" spans="1:15" x14ac:dyDescent="0.3">
      <c r="A63" s="50" t="s">
        <v>13</v>
      </c>
      <c r="B63" s="52"/>
      <c r="C63" s="52"/>
      <c r="D63" s="52"/>
      <c r="E63" s="52">
        <v>150</v>
      </c>
      <c r="F63" s="57"/>
      <c r="G63" s="52">
        <f t="shared" ref="G63:G69" si="5">SUM(E63-F63)</f>
        <v>150</v>
      </c>
      <c r="H63" s="52">
        <f t="shared" si="1"/>
        <v>0</v>
      </c>
      <c r="I63" s="52"/>
      <c r="J63" s="64">
        <v>150</v>
      </c>
      <c r="K63" s="52"/>
      <c r="L63" s="163"/>
      <c r="M63" s="54">
        <f t="shared" si="2"/>
        <v>-150</v>
      </c>
      <c r="N63" s="172">
        <v>160</v>
      </c>
      <c r="O63" s="52"/>
    </row>
    <row r="64" spans="1:15" x14ac:dyDescent="0.3">
      <c r="A64" s="50" t="s">
        <v>146</v>
      </c>
      <c r="B64" s="52"/>
      <c r="C64" s="52"/>
      <c r="D64" s="52"/>
      <c r="E64" s="52">
        <v>45</v>
      </c>
      <c r="F64" s="52">
        <v>0</v>
      </c>
      <c r="G64" s="52">
        <f t="shared" si="5"/>
        <v>45</v>
      </c>
      <c r="H64" s="52">
        <f t="shared" si="1"/>
        <v>0</v>
      </c>
      <c r="I64" s="52"/>
      <c r="J64" s="64">
        <v>50</v>
      </c>
      <c r="K64" s="52"/>
      <c r="L64" s="163"/>
      <c r="M64" s="54">
        <f t="shared" si="2"/>
        <v>-50</v>
      </c>
      <c r="N64" s="172">
        <v>0</v>
      </c>
      <c r="O64" s="52"/>
    </row>
    <row r="65" spans="1:15" x14ac:dyDescent="0.3">
      <c r="A65" s="50" t="s">
        <v>147</v>
      </c>
      <c r="B65" s="52"/>
      <c r="C65" s="52"/>
      <c r="D65" s="52"/>
      <c r="E65" s="52">
        <v>15</v>
      </c>
      <c r="F65" s="52">
        <v>0</v>
      </c>
      <c r="G65" s="52">
        <v>0</v>
      </c>
      <c r="H65" s="52">
        <f t="shared" si="1"/>
        <v>15</v>
      </c>
      <c r="I65" s="52"/>
      <c r="J65" s="64">
        <v>18</v>
      </c>
      <c r="K65" s="52"/>
      <c r="L65" s="163"/>
      <c r="M65" s="54">
        <f t="shared" si="2"/>
        <v>-18</v>
      </c>
      <c r="N65" s="172">
        <v>0</v>
      </c>
      <c r="O65" s="52"/>
    </row>
    <row r="66" spans="1:15" x14ac:dyDescent="0.3">
      <c r="A66" s="50" t="s">
        <v>148</v>
      </c>
      <c r="B66" s="52"/>
      <c r="C66" s="52"/>
      <c r="D66" s="52"/>
      <c r="E66" s="52">
        <v>55</v>
      </c>
      <c r="F66" s="52">
        <v>0</v>
      </c>
      <c r="G66" s="52">
        <v>0</v>
      </c>
      <c r="H66" s="52">
        <f t="shared" si="1"/>
        <v>55</v>
      </c>
      <c r="I66" s="52"/>
      <c r="J66" s="64">
        <v>0</v>
      </c>
      <c r="K66" s="52"/>
      <c r="L66" s="163"/>
      <c r="M66" s="54">
        <f t="shared" si="2"/>
        <v>0</v>
      </c>
      <c r="N66" s="172">
        <v>0</v>
      </c>
      <c r="O66" s="52"/>
    </row>
    <row r="67" spans="1:15" x14ac:dyDescent="0.3">
      <c r="A67" s="50" t="s">
        <v>149</v>
      </c>
      <c r="B67" s="52"/>
      <c r="C67" s="52"/>
      <c r="D67" s="52"/>
      <c r="E67" s="52">
        <v>100</v>
      </c>
      <c r="F67" s="52">
        <v>0</v>
      </c>
      <c r="G67" s="52">
        <v>0</v>
      </c>
      <c r="H67" s="52">
        <f t="shared" si="1"/>
        <v>100</v>
      </c>
      <c r="I67" s="52"/>
      <c r="J67" s="65">
        <v>0</v>
      </c>
      <c r="K67" s="52"/>
      <c r="L67" s="163"/>
      <c r="M67" s="54">
        <f t="shared" si="2"/>
        <v>0</v>
      </c>
      <c r="N67" s="172">
        <v>0</v>
      </c>
      <c r="O67" s="52"/>
    </row>
    <row r="68" spans="1:15" x14ac:dyDescent="0.3">
      <c r="A68" s="50" t="s">
        <v>150</v>
      </c>
      <c r="B68" s="52"/>
      <c r="C68" s="52"/>
      <c r="D68" s="52"/>
      <c r="E68" s="52">
        <v>36</v>
      </c>
      <c r="F68">
        <v>36</v>
      </c>
      <c r="G68" s="52">
        <f t="shared" si="5"/>
        <v>0</v>
      </c>
      <c r="H68" s="52">
        <f t="shared" si="1"/>
        <v>0</v>
      </c>
      <c r="I68" s="52"/>
      <c r="J68" s="65">
        <v>38</v>
      </c>
      <c r="K68" s="52"/>
      <c r="L68" s="163"/>
      <c r="M68" s="54">
        <f t="shared" si="2"/>
        <v>-38</v>
      </c>
      <c r="N68" s="172">
        <v>45</v>
      </c>
      <c r="O68" s="52"/>
    </row>
    <row r="69" spans="1:15" x14ac:dyDescent="0.3">
      <c r="A69" s="50" t="s">
        <v>151</v>
      </c>
      <c r="B69" s="52"/>
      <c r="C69" s="52"/>
      <c r="D69" s="52"/>
      <c r="E69" s="52">
        <v>46</v>
      </c>
      <c r="F69" s="52">
        <v>0</v>
      </c>
      <c r="G69" s="52">
        <f t="shared" si="5"/>
        <v>46</v>
      </c>
      <c r="H69" s="52">
        <f t="shared" si="1"/>
        <v>0</v>
      </c>
      <c r="I69" s="52"/>
      <c r="J69" s="65">
        <v>48</v>
      </c>
      <c r="K69" s="52"/>
      <c r="L69" s="163"/>
      <c r="M69" s="54">
        <f t="shared" si="2"/>
        <v>-48</v>
      </c>
      <c r="N69" s="172">
        <v>35</v>
      </c>
      <c r="O69" s="52"/>
    </row>
    <row r="70" spans="1:15" s="37" customFormat="1" x14ac:dyDescent="0.3">
      <c r="A70" s="160" t="s">
        <v>364</v>
      </c>
      <c r="C70" s="51"/>
      <c r="D70" s="51"/>
      <c r="E70" s="51"/>
      <c r="F70" s="51"/>
      <c r="G70" s="51"/>
      <c r="H70" s="51"/>
      <c r="I70" s="51"/>
      <c r="J70" s="63"/>
      <c r="K70" s="51"/>
      <c r="L70" s="169">
        <v>350</v>
      </c>
      <c r="M70" s="54">
        <f t="shared" si="2"/>
        <v>350</v>
      </c>
      <c r="N70" s="174"/>
    </row>
    <row r="71" spans="1:15" x14ac:dyDescent="0.3">
      <c r="A71" s="51" t="s">
        <v>152</v>
      </c>
      <c r="B71" s="52"/>
      <c r="C71" s="52"/>
      <c r="D71" s="52"/>
      <c r="E71" s="52"/>
      <c r="F71" s="52"/>
      <c r="G71" s="52"/>
      <c r="H71" s="52">
        <f t="shared" si="1"/>
        <v>0</v>
      </c>
      <c r="I71" s="52"/>
      <c r="J71" s="64"/>
      <c r="K71" s="52"/>
      <c r="L71" s="163"/>
      <c r="M71" s="54">
        <f t="shared" si="2"/>
        <v>0</v>
      </c>
      <c r="N71" s="172"/>
      <c r="O71" s="52"/>
    </row>
    <row r="72" spans="1:15" x14ac:dyDescent="0.3">
      <c r="A72" s="37" t="s">
        <v>238</v>
      </c>
      <c r="B72" s="52"/>
      <c r="C72" s="52"/>
      <c r="D72" s="52"/>
      <c r="E72" s="54">
        <v>500</v>
      </c>
      <c r="F72" s="54">
        <f>'Current budget'!F67</f>
        <v>180</v>
      </c>
      <c r="G72" s="54">
        <v>0</v>
      </c>
      <c r="H72" s="52">
        <f t="shared" si="1"/>
        <v>320</v>
      </c>
      <c r="I72" s="54"/>
      <c r="J72" s="66">
        <v>400</v>
      </c>
      <c r="K72" s="52"/>
      <c r="L72" s="165">
        <f>Payments!O103</f>
        <v>0</v>
      </c>
      <c r="M72" s="54">
        <f t="shared" si="2"/>
        <v>-400</v>
      </c>
      <c r="N72" s="172">
        <v>1000</v>
      </c>
      <c r="O72" s="52"/>
    </row>
    <row r="73" spans="1:15" x14ac:dyDescent="0.3">
      <c r="A73" s="50" t="s">
        <v>154</v>
      </c>
      <c r="B73" s="52"/>
      <c r="C73" s="52"/>
      <c r="D73" s="52"/>
      <c r="E73" s="54">
        <v>30</v>
      </c>
      <c r="F73" s="54">
        <v>0</v>
      </c>
      <c r="G73" s="54">
        <v>0</v>
      </c>
      <c r="H73" s="52">
        <f t="shared" si="1"/>
        <v>30</v>
      </c>
      <c r="I73" s="54"/>
      <c r="J73" s="67">
        <v>35</v>
      </c>
      <c r="K73" s="52"/>
      <c r="L73" s="163"/>
      <c r="M73" s="54">
        <f t="shared" si="2"/>
        <v>-35</v>
      </c>
      <c r="N73" s="172"/>
      <c r="O73" s="52"/>
    </row>
    <row r="74" spans="1:15" x14ac:dyDescent="0.3">
      <c r="A74" s="50" t="s">
        <v>155</v>
      </c>
      <c r="B74" s="52"/>
      <c r="C74" s="52"/>
      <c r="D74" s="52"/>
      <c r="E74" s="54">
        <v>100</v>
      </c>
      <c r="F74" s="54">
        <v>600</v>
      </c>
      <c r="G74" s="54">
        <v>0</v>
      </c>
      <c r="H74" s="52">
        <f t="shared" si="1"/>
        <v>-500</v>
      </c>
      <c r="I74" s="54"/>
      <c r="J74" s="67">
        <v>600</v>
      </c>
      <c r="K74" s="52" t="s">
        <v>213</v>
      </c>
      <c r="L74" s="163"/>
      <c r="M74" s="54">
        <f t="shared" si="2"/>
        <v>-600</v>
      </c>
      <c r="N74" s="172">
        <v>600</v>
      </c>
      <c r="O74" s="52"/>
    </row>
    <row r="75" spans="1:15" x14ac:dyDescent="0.3">
      <c r="A75" s="50" t="s">
        <v>156</v>
      </c>
      <c r="B75" s="52"/>
      <c r="C75" s="52"/>
      <c r="D75" s="52"/>
      <c r="E75" s="54">
        <v>100</v>
      </c>
      <c r="F75" s="54"/>
      <c r="G75" s="54">
        <v>0</v>
      </c>
      <c r="H75" s="52"/>
      <c r="I75" s="54"/>
      <c r="J75" s="67">
        <v>250</v>
      </c>
      <c r="K75" s="52"/>
      <c r="L75" s="163"/>
      <c r="M75" s="54">
        <f t="shared" si="2"/>
        <v>-250</v>
      </c>
      <c r="N75" s="172">
        <v>250</v>
      </c>
      <c r="O75" s="52"/>
    </row>
    <row r="76" spans="1:15" x14ac:dyDescent="0.3">
      <c r="A76" s="37" t="s">
        <v>239</v>
      </c>
      <c r="B76" s="52"/>
      <c r="C76" s="52"/>
      <c r="D76" s="52"/>
      <c r="E76" s="54">
        <v>100</v>
      </c>
      <c r="F76" s="54">
        <v>0</v>
      </c>
      <c r="G76" s="54">
        <v>0</v>
      </c>
      <c r="H76" s="52">
        <f t="shared" si="1"/>
        <v>100</v>
      </c>
      <c r="I76" s="54"/>
      <c r="J76" s="66">
        <v>100</v>
      </c>
      <c r="K76" s="52"/>
      <c r="L76" s="163"/>
      <c r="M76" s="54">
        <f t="shared" si="2"/>
        <v>-100</v>
      </c>
      <c r="N76" s="172"/>
      <c r="O76" s="52"/>
    </row>
    <row r="77" spans="1:15" x14ac:dyDescent="0.3">
      <c r="A77" s="50" t="s">
        <v>158</v>
      </c>
      <c r="B77" s="52"/>
      <c r="C77" s="52"/>
      <c r="D77" s="52"/>
      <c r="E77" s="54">
        <v>1000</v>
      </c>
      <c r="F77" s="54">
        <v>0</v>
      </c>
      <c r="G77" s="54">
        <v>0</v>
      </c>
      <c r="H77" s="52">
        <f t="shared" si="1"/>
        <v>1000</v>
      </c>
      <c r="I77" s="54"/>
      <c r="J77" s="66">
        <v>1000</v>
      </c>
      <c r="K77" s="52"/>
      <c r="L77" s="168">
        <f>Payments!W10</f>
        <v>0</v>
      </c>
      <c r="M77" s="54">
        <f t="shared" si="2"/>
        <v>-1000</v>
      </c>
      <c r="N77" s="172">
        <v>1400</v>
      </c>
      <c r="O77" s="52"/>
    </row>
    <row r="78" spans="1:15" x14ac:dyDescent="0.3">
      <c r="A78" s="37" t="s">
        <v>362</v>
      </c>
      <c r="B78" s="52"/>
      <c r="C78" s="52"/>
      <c r="D78" s="52"/>
      <c r="E78" s="54"/>
      <c r="F78" s="54">
        <v>58.88</v>
      </c>
      <c r="G78" s="54"/>
      <c r="H78" s="52">
        <f t="shared" si="1"/>
        <v>-58.88</v>
      </c>
      <c r="I78" s="54"/>
      <c r="J78" s="67"/>
      <c r="K78" s="52"/>
      <c r="L78" s="168"/>
      <c r="M78" s="54">
        <f t="shared" si="2"/>
        <v>0</v>
      </c>
      <c r="N78" s="172"/>
      <c r="O78" s="52"/>
    </row>
    <row r="79" spans="1:15" x14ac:dyDescent="0.3">
      <c r="A79" s="37" t="s">
        <v>216</v>
      </c>
      <c r="B79" s="52"/>
      <c r="C79" s="52"/>
      <c r="D79" s="52"/>
      <c r="E79" s="54"/>
      <c r="F79" s="54"/>
      <c r="G79" s="54"/>
      <c r="H79" s="52"/>
      <c r="I79" s="54"/>
      <c r="J79" s="67">
        <v>1000</v>
      </c>
      <c r="K79" s="52"/>
      <c r="L79" s="163"/>
      <c r="M79" s="54">
        <f t="shared" si="2"/>
        <v>-1000</v>
      </c>
      <c r="N79" s="172">
        <v>1000</v>
      </c>
      <c r="O79" s="52"/>
    </row>
    <row r="80" spans="1:15" x14ac:dyDescent="0.3">
      <c r="A80" s="37" t="s">
        <v>217</v>
      </c>
      <c r="B80" s="52"/>
      <c r="C80" s="52"/>
      <c r="D80" s="52"/>
      <c r="E80" s="54"/>
      <c r="F80" s="54"/>
      <c r="G80" s="54"/>
      <c r="H80" s="52"/>
      <c r="I80" s="54"/>
      <c r="J80" s="67">
        <v>1000</v>
      </c>
      <c r="K80" s="52"/>
      <c r="L80" s="163">
        <v>1000</v>
      </c>
      <c r="M80" s="54">
        <f t="shared" si="2"/>
        <v>0</v>
      </c>
      <c r="N80" s="172"/>
      <c r="O80" s="52"/>
    </row>
    <row r="81" spans="1:15" x14ac:dyDescent="0.3">
      <c r="A81" s="51" t="s">
        <v>159</v>
      </c>
      <c r="B81" s="52"/>
      <c r="C81" s="52"/>
      <c r="D81" s="52"/>
      <c r="E81" s="54"/>
      <c r="F81" s="54"/>
      <c r="G81" s="54"/>
      <c r="H81" s="52">
        <f t="shared" si="1"/>
        <v>0</v>
      </c>
      <c r="I81" s="54"/>
      <c r="J81" s="67"/>
      <c r="K81" s="52"/>
      <c r="L81" s="163"/>
      <c r="M81" s="54">
        <f t="shared" si="2"/>
        <v>0</v>
      </c>
      <c r="N81" s="172"/>
      <c r="O81" s="52"/>
    </row>
    <row r="82" spans="1:15" x14ac:dyDescent="0.3">
      <c r="A82" s="50" t="s">
        <v>160</v>
      </c>
      <c r="B82" s="52"/>
      <c r="C82" s="52"/>
      <c r="D82" s="52"/>
      <c r="E82" s="54">
        <v>200</v>
      </c>
      <c r="F82" s="54" t="e">
        <f>Payments!#REF!</f>
        <v>#REF!</v>
      </c>
      <c r="G82" s="54">
        <v>0</v>
      </c>
      <c r="H82" s="52" t="e">
        <f t="shared" si="1"/>
        <v>#REF!</v>
      </c>
      <c r="I82" s="54"/>
      <c r="J82" s="66">
        <v>200</v>
      </c>
      <c r="K82" s="52"/>
      <c r="L82" s="168">
        <v>150</v>
      </c>
      <c r="M82" s="54">
        <f t="shared" si="2"/>
        <v>-50</v>
      </c>
      <c r="N82" s="172">
        <v>250</v>
      </c>
      <c r="O82" s="52"/>
    </row>
    <row r="83" spans="1:15" x14ac:dyDescent="0.3">
      <c r="A83" s="50" t="s">
        <v>161</v>
      </c>
      <c r="B83" s="52"/>
      <c r="C83" s="52"/>
      <c r="D83" s="52"/>
      <c r="E83" s="54">
        <v>250</v>
      </c>
      <c r="F83" s="54" t="e">
        <f>'Current budget'!F76</f>
        <v>#REF!</v>
      </c>
      <c r="G83" s="54">
        <v>0</v>
      </c>
      <c r="H83" s="52" t="e">
        <f t="shared" si="1"/>
        <v>#REF!</v>
      </c>
      <c r="I83" s="54"/>
      <c r="J83" s="66">
        <v>275</v>
      </c>
      <c r="K83" s="52" t="s">
        <v>212</v>
      </c>
      <c r="L83" s="163"/>
      <c r="M83" s="54">
        <f t="shared" si="2"/>
        <v>-275</v>
      </c>
      <c r="N83" s="172">
        <v>280</v>
      </c>
      <c r="O83" s="52"/>
    </row>
    <row r="84" spans="1:15" x14ac:dyDescent="0.3">
      <c r="A84" s="50"/>
      <c r="B84" s="52"/>
      <c r="C84" s="52"/>
      <c r="D84" s="52"/>
      <c r="E84" s="54"/>
      <c r="F84" s="54"/>
      <c r="G84" s="54"/>
      <c r="H84" s="52">
        <f t="shared" si="1"/>
        <v>0</v>
      </c>
      <c r="I84" s="54"/>
      <c r="J84" s="67"/>
      <c r="K84" s="52"/>
      <c r="L84" s="163"/>
      <c r="M84" s="54">
        <f t="shared" si="2"/>
        <v>0</v>
      </c>
      <c r="N84" s="172"/>
      <c r="O84" s="52"/>
    </row>
    <row r="85" spans="1:15" x14ac:dyDescent="0.3">
      <c r="A85" s="51" t="s">
        <v>162</v>
      </c>
      <c r="B85" s="52"/>
      <c r="C85" s="52"/>
      <c r="D85" s="52"/>
      <c r="E85" s="54"/>
      <c r="F85" s="54"/>
      <c r="G85" s="54"/>
      <c r="H85" s="52">
        <f t="shared" si="1"/>
        <v>0</v>
      </c>
      <c r="I85" s="54"/>
      <c r="J85" s="67"/>
      <c r="K85" s="52"/>
      <c r="L85" s="163"/>
      <c r="M85" s="54">
        <f t="shared" si="2"/>
        <v>0</v>
      </c>
      <c r="N85" s="172"/>
      <c r="O85" s="52"/>
    </row>
    <row r="86" spans="1:15" x14ac:dyDescent="0.3">
      <c r="A86" s="50" t="s">
        <v>163</v>
      </c>
      <c r="B86" s="52"/>
      <c r="C86" s="52"/>
      <c r="D86" s="52"/>
      <c r="E86" s="54">
        <v>15000</v>
      </c>
      <c r="F86" s="54">
        <v>0</v>
      </c>
      <c r="G86" s="54">
        <v>0</v>
      </c>
      <c r="H86" s="52">
        <v>15000</v>
      </c>
      <c r="I86" s="54"/>
      <c r="J86" s="67">
        <v>20000</v>
      </c>
      <c r="K86" s="52"/>
      <c r="L86" s="163"/>
      <c r="M86" s="54">
        <f t="shared" si="2"/>
        <v>-20000</v>
      </c>
      <c r="N86" s="172" t="s">
        <v>367</v>
      </c>
      <c r="O86" s="52"/>
    </row>
    <row r="87" spans="1:15" x14ac:dyDescent="0.3">
      <c r="A87" s="50" t="s">
        <v>164</v>
      </c>
      <c r="B87" s="52"/>
      <c r="C87" s="52"/>
      <c r="D87" s="52"/>
      <c r="E87" s="54">
        <v>780</v>
      </c>
      <c r="F87" s="54">
        <v>0</v>
      </c>
      <c r="G87" s="54">
        <v>780</v>
      </c>
      <c r="H87" s="52">
        <f t="shared" si="1"/>
        <v>0</v>
      </c>
      <c r="I87" s="54"/>
      <c r="J87" s="67"/>
      <c r="K87" s="52"/>
      <c r="L87" s="168">
        <f>Payments!W7</f>
        <v>0</v>
      </c>
      <c r="M87" s="54">
        <f t="shared" si="2"/>
        <v>0</v>
      </c>
      <c r="N87" s="172" t="s">
        <v>367</v>
      </c>
      <c r="O87" s="52"/>
    </row>
    <row r="88" spans="1:15" x14ac:dyDescent="0.3">
      <c r="A88" s="50" t="s">
        <v>165</v>
      </c>
      <c r="B88" s="52"/>
      <c r="C88" s="52"/>
      <c r="D88" s="52"/>
      <c r="E88" s="54">
        <v>2000</v>
      </c>
      <c r="F88" s="54" t="e">
        <f>'Current budget'!F81</f>
        <v>#REF!</v>
      </c>
      <c r="G88" s="62">
        <v>2358.66</v>
      </c>
      <c r="H88" s="52" t="e">
        <f t="shared" si="1"/>
        <v>#REF!</v>
      </c>
      <c r="I88" s="54"/>
      <c r="J88" s="67"/>
      <c r="K88" s="52"/>
      <c r="L88" s="168">
        <f>Payments!W3</f>
        <v>0</v>
      </c>
      <c r="M88" s="54">
        <f t="shared" si="2"/>
        <v>0</v>
      </c>
      <c r="N88" s="172"/>
      <c r="O88" s="52"/>
    </row>
    <row r="89" spans="1:15" ht="28.8" x14ac:dyDescent="0.3">
      <c r="A89" s="50" t="s">
        <v>241</v>
      </c>
      <c r="B89" s="52"/>
      <c r="C89" s="52"/>
      <c r="D89" s="52"/>
      <c r="E89" s="54">
        <v>4680</v>
      </c>
      <c r="F89" s="54">
        <v>0</v>
      </c>
      <c r="G89" s="54">
        <v>4680</v>
      </c>
      <c r="H89" s="52">
        <f t="shared" si="1"/>
        <v>0</v>
      </c>
      <c r="I89" s="54"/>
      <c r="J89" s="67">
        <v>3000</v>
      </c>
      <c r="K89" t="s">
        <v>244</v>
      </c>
      <c r="L89" s="163"/>
      <c r="M89" s="54">
        <f t="shared" ref="M89:M97" si="6">L89-J89</f>
        <v>-3000</v>
      </c>
      <c r="N89" s="172"/>
      <c r="O89" s="52"/>
    </row>
    <row r="90" spans="1:15" ht="28.8" x14ac:dyDescent="0.3">
      <c r="A90" s="50" t="s">
        <v>166</v>
      </c>
      <c r="B90" s="52"/>
      <c r="C90" s="52"/>
      <c r="D90" s="52"/>
      <c r="E90" s="54">
        <v>3252.27</v>
      </c>
      <c r="F90" s="54">
        <v>0</v>
      </c>
      <c r="G90" s="54">
        <v>0</v>
      </c>
      <c r="H90" s="52">
        <f t="shared" si="1"/>
        <v>3252.27</v>
      </c>
      <c r="I90" s="52">
        <f t="shared" ref="I90" si="7">SUM(F90-(G90+H90))</f>
        <v>-3252.27</v>
      </c>
      <c r="J90" s="64">
        <v>1700</v>
      </c>
      <c r="K90" t="s">
        <v>240</v>
      </c>
      <c r="L90" s="163"/>
      <c r="M90" s="54">
        <f t="shared" si="6"/>
        <v>-1700</v>
      </c>
      <c r="N90" s="172"/>
      <c r="O90" s="52" t="s">
        <v>374</v>
      </c>
    </row>
    <row r="91" spans="1:15" x14ac:dyDescent="0.3">
      <c r="A91" s="37" t="s">
        <v>204</v>
      </c>
      <c r="B91" s="52"/>
      <c r="C91" s="52"/>
      <c r="D91" s="52"/>
      <c r="E91" s="17">
        <v>2000</v>
      </c>
      <c r="F91" s="17">
        <v>1950</v>
      </c>
      <c r="G91" s="17">
        <v>0</v>
      </c>
      <c r="H91" s="52">
        <f t="shared" ref="H91:H96" si="8">SUM(E91-(F91+G91))</f>
        <v>50</v>
      </c>
      <c r="I91" s="54"/>
      <c r="J91" s="67"/>
      <c r="K91" s="52"/>
      <c r="L91" s="163"/>
      <c r="M91" s="54">
        <f t="shared" si="6"/>
        <v>0</v>
      </c>
      <c r="N91" s="172"/>
      <c r="O91" s="52" t="s">
        <v>375</v>
      </c>
    </row>
    <row r="92" spans="1:15" ht="28.8" x14ac:dyDescent="0.3">
      <c r="A92" s="37" t="s">
        <v>242</v>
      </c>
      <c r="B92" s="52"/>
      <c r="C92" s="52"/>
      <c r="D92" s="52"/>
      <c r="E92" s="17"/>
      <c r="F92" s="17"/>
      <c r="G92" s="17"/>
      <c r="H92" s="52"/>
      <c r="I92" s="54"/>
      <c r="J92" s="67">
        <v>1000</v>
      </c>
      <c r="K92" s="52" t="s">
        <v>218</v>
      </c>
      <c r="L92" s="163"/>
      <c r="M92" s="54">
        <f t="shared" si="6"/>
        <v>-1000</v>
      </c>
      <c r="N92" s="172"/>
      <c r="O92" s="52" t="s">
        <v>376</v>
      </c>
    </row>
    <row r="93" spans="1:15" x14ac:dyDescent="0.3">
      <c r="A93" s="51" t="s">
        <v>167</v>
      </c>
      <c r="B93" s="52"/>
      <c r="C93" s="52"/>
      <c r="D93" s="52"/>
      <c r="E93" s="54"/>
      <c r="F93" s="54"/>
      <c r="G93" s="54"/>
      <c r="H93" s="52">
        <f t="shared" si="8"/>
        <v>0</v>
      </c>
      <c r="I93" s="54"/>
      <c r="J93" s="67"/>
      <c r="K93" s="52"/>
      <c r="L93" s="163"/>
      <c r="M93" s="54">
        <f t="shared" si="6"/>
        <v>0</v>
      </c>
      <c r="N93" s="172"/>
      <c r="O93" s="52"/>
    </row>
    <row r="94" spans="1:15" x14ac:dyDescent="0.3">
      <c r="A94" s="50" t="s">
        <v>168</v>
      </c>
      <c r="B94" s="52"/>
      <c r="C94" s="52"/>
      <c r="D94" s="52"/>
      <c r="E94" s="54">
        <v>1000</v>
      </c>
      <c r="F94" s="54">
        <v>265</v>
      </c>
      <c r="G94" s="54">
        <v>0</v>
      </c>
      <c r="H94" s="52">
        <f t="shared" si="8"/>
        <v>735</v>
      </c>
      <c r="I94" s="54"/>
      <c r="J94" s="66">
        <v>0</v>
      </c>
      <c r="K94" s="52"/>
      <c r="L94" s="163"/>
      <c r="M94" s="54">
        <f t="shared" si="6"/>
        <v>0</v>
      </c>
      <c r="N94" s="172"/>
      <c r="O94" s="52"/>
    </row>
    <row r="95" spans="1:15" x14ac:dyDescent="0.3">
      <c r="A95" s="50" t="s">
        <v>245</v>
      </c>
      <c r="B95" s="52"/>
      <c r="C95" s="52"/>
      <c r="D95" s="52"/>
      <c r="E95" s="54">
        <v>1000</v>
      </c>
      <c r="F95" s="54">
        <v>0</v>
      </c>
      <c r="G95" s="54">
        <v>0</v>
      </c>
      <c r="H95" s="52">
        <f t="shared" si="8"/>
        <v>1000</v>
      </c>
      <c r="I95" s="54"/>
      <c r="J95" s="66">
        <v>1000</v>
      </c>
      <c r="K95" t="s">
        <v>231</v>
      </c>
      <c r="L95" s="163">
        <v>200</v>
      </c>
      <c r="M95" s="54">
        <f t="shared" si="6"/>
        <v>-800</v>
      </c>
      <c r="N95" s="172"/>
      <c r="O95" s="52"/>
    </row>
    <row r="96" spans="1:15" x14ac:dyDescent="0.3">
      <c r="A96" s="50" t="s">
        <v>169</v>
      </c>
      <c r="B96" s="52"/>
      <c r="C96" s="52"/>
      <c r="D96" s="52"/>
      <c r="E96" s="54">
        <v>1000</v>
      </c>
      <c r="F96" s="54">
        <v>0</v>
      </c>
      <c r="G96" s="54">
        <v>0</v>
      </c>
      <c r="H96" s="52">
        <f t="shared" si="8"/>
        <v>1000</v>
      </c>
      <c r="I96" s="54"/>
      <c r="J96" s="66">
        <v>1000</v>
      </c>
      <c r="K96" s="52"/>
      <c r="L96" s="165">
        <v>39.799999999999997</v>
      </c>
      <c r="M96" s="54">
        <f t="shared" si="6"/>
        <v>-960.2</v>
      </c>
      <c r="N96" s="172"/>
      <c r="O96" s="52"/>
    </row>
    <row r="97" spans="1:15" ht="15" thickBot="1" x14ac:dyDescent="0.35">
      <c r="A97" s="51" t="s">
        <v>170</v>
      </c>
      <c r="B97" s="52"/>
      <c r="C97" s="52"/>
      <c r="D97" s="52"/>
      <c r="E97" s="69">
        <f>SUM(E24:E96)</f>
        <v>53969.27</v>
      </c>
      <c r="F97" s="69" t="e">
        <f>SUM(F24:F96)</f>
        <v>#REF!</v>
      </c>
      <c r="G97" s="69">
        <f>SUM(G24:G96)</f>
        <v>13752.15</v>
      </c>
      <c r="H97" s="69" t="e">
        <f>SUM(H24:H96)</f>
        <v>#REF!</v>
      </c>
      <c r="I97" s="54"/>
      <c r="J97" s="68">
        <f>SUM(J24:J96)</f>
        <v>51078</v>
      </c>
      <c r="K97" s="52"/>
      <c r="L97" s="171">
        <f>SUM(L24:L96)</f>
        <v>3088.28</v>
      </c>
      <c r="M97" s="54">
        <f t="shared" si="6"/>
        <v>-47989.72</v>
      </c>
      <c r="N97" s="175">
        <f>SUM(N24:N96)</f>
        <v>26153</v>
      </c>
      <c r="O97" s="52"/>
    </row>
    <row r="98" spans="1:15" x14ac:dyDescent="0.3">
      <c r="A98" s="51"/>
      <c r="B98" s="52"/>
      <c r="C98" s="52"/>
      <c r="D98" s="52"/>
      <c r="E98" s="54"/>
      <c r="F98" s="54"/>
      <c r="G98" s="54"/>
      <c r="H98" s="54"/>
      <c r="I98" s="54"/>
      <c r="J98" s="54"/>
      <c r="K98" s="52"/>
      <c r="L98" s="52"/>
      <c r="M98" s="52"/>
      <c r="N98" s="52"/>
      <c r="O98" s="52"/>
    </row>
    <row r="99" spans="1:15" x14ac:dyDescent="0.3">
      <c r="A99" s="50"/>
      <c r="B99" s="52"/>
      <c r="C99" s="52"/>
      <c r="D99" s="38" t="s">
        <v>171</v>
      </c>
      <c r="E99" s="38"/>
      <c r="F99" s="38"/>
      <c r="G99" s="52"/>
      <c r="H99" s="52"/>
      <c r="I99" s="52"/>
      <c r="J99" s="52"/>
      <c r="K99" s="52"/>
      <c r="L99" s="52"/>
      <c r="M99" s="52"/>
      <c r="N99" s="52"/>
      <c r="O99" s="52"/>
    </row>
    <row r="100" spans="1:15" x14ac:dyDescent="0.3">
      <c r="A100" s="50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</row>
    <row r="101" spans="1:15" hidden="1" x14ac:dyDescent="0.3">
      <c r="A101" s="51" t="s">
        <v>173</v>
      </c>
      <c r="B101" s="48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</row>
    <row r="102" spans="1:15" hidden="1" x14ac:dyDescent="0.3">
      <c r="A102" s="51" t="s">
        <v>174</v>
      </c>
      <c r="B102" s="48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</row>
    <row r="103" spans="1:15" hidden="1" x14ac:dyDescent="0.3">
      <c r="A103" s="51" t="s">
        <v>175</v>
      </c>
      <c r="B103" s="48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</row>
    <row r="104" spans="1:15" hidden="1" x14ac:dyDescent="0.3">
      <c r="A104" s="51" t="s">
        <v>176</v>
      </c>
      <c r="B104" s="61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</row>
    <row r="105" spans="1:15" hidden="1" x14ac:dyDescent="0.3">
      <c r="A105" s="51" t="s">
        <v>177</v>
      </c>
      <c r="B105" s="38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</row>
    <row r="106" spans="1:15" hidden="1" x14ac:dyDescent="0.3">
      <c r="A106" s="51" t="s">
        <v>178</v>
      </c>
      <c r="B106" s="48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</row>
    <row r="107" spans="1:15" hidden="1" x14ac:dyDescent="0.3">
      <c r="A107" s="50" t="s">
        <v>179</v>
      </c>
      <c r="B107" s="57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</row>
    <row r="108" spans="1:15" hidden="1" x14ac:dyDescent="0.3">
      <c r="A108" s="50" t="s">
        <v>180</v>
      </c>
      <c r="B108" s="52">
        <v>0</v>
      </c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</row>
    <row r="109" spans="1:15" hidden="1" x14ac:dyDescent="0.3">
      <c r="A109" s="50" t="s">
        <v>181</v>
      </c>
      <c r="B109" s="52">
        <v>0</v>
      </c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</row>
    <row r="110" spans="1:15" hidden="1" x14ac:dyDescent="0.3">
      <c r="A110" s="50" t="s">
        <v>182</v>
      </c>
      <c r="B110" s="52">
        <v>0</v>
      </c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</row>
    <row r="111" spans="1:15" hidden="1" x14ac:dyDescent="0.3">
      <c r="A111" s="50" t="s">
        <v>183</v>
      </c>
      <c r="B111" s="52">
        <v>0</v>
      </c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</row>
    <row r="112" spans="1:15" hidden="1" x14ac:dyDescent="0.3">
      <c r="A112" s="50" t="s">
        <v>184</v>
      </c>
      <c r="B112" s="52">
        <v>0</v>
      </c>
      <c r="C112" s="38"/>
      <c r="G112" s="52"/>
      <c r="H112" s="52"/>
      <c r="I112" s="52"/>
      <c r="J112" s="52"/>
      <c r="K112" s="52"/>
      <c r="L112" s="52"/>
      <c r="M112" s="52"/>
      <c r="N112" s="52"/>
      <c r="O112" s="52"/>
    </row>
    <row r="113" spans="1:13" ht="15.6" hidden="1" x14ac:dyDescent="0.3">
      <c r="A113" s="37" t="s">
        <v>198</v>
      </c>
      <c r="B113" s="57">
        <f>SUM(B101:B112)</f>
        <v>0</v>
      </c>
      <c r="C113" s="57"/>
      <c r="D113" s="56" t="e">
        <f>F97</f>
        <v>#REF!</v>
      </c>
      <c r="E113" s="38" t="s">
        <v>199</v>
      </c>
      <c r="F113" s="52"/>
      <c r="G113" s="52"/>
      <c r="H113" s="52"/>
      <c r="I113" s="52"/>
      <c r="J113" s="52"/>
      <c r="K113" s="52"/>
      <c r="L113" s="52"/>
      <c r="M113" s="52"/>
    </row>
    <row r="114" spans="1:13" hidden="1" x14ac:dyDescent="0.3">
      <c r="A114" s="37" t="s">
        <v>197</v>
      </c>
      <c r="B114" s="57"/>
      <c r="C114" s="57" t="e">
        <f>D113-B113</f>
        <v>#REF!</v>
      </c>
      <c r="D114" s="52"/>
      <c r="E114" s="52"/>
      <c r="F114" s="52"/>
      <c r="G114" s="52"/>
      <c r="H114" s="52"/>
      <c r="I114" s="52"/>
      <c r="J114" s="52"/>
      <c r="K114" s="52"/>
      <c r="L114" s="52"/>
      <c r="M114" s="52"/>
    </row>
    <row r="115" spans="1:13" ht="28.8" hidden="1" x14ac:dyDescent="0.3">
      <c r="A115" s="51" t="s">
        <v>185</v>
      </c>
      <c r="B115" s="52">
        <f>SUM(11500)</f>
        <v>11500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</row>
    <row r="116" spans="1:13" hidden="1" x14ac:dyDescent="0.3">
      <c r="A116" s="50" t="s">
        <v>186</v>
      </c>
      <c r="B116" s="52">
        <v>0</v>
      </c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</row>
    <row r="117" spans="1:13" hidden="1" x14ac:dyDescent="0.3">
      <c r="A117" s="50" t="s">
        <v>187</v>
      </c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</row>
    <row r="118" spans="1:13" hidden="1" x14ac:dyDescent="0.3">
      <c r="A118" s="50" t="s">
        <v>188</v>
      </c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</row>
    <row r="119" spans="1:13" hidden="1" x14ac:dyDescent="0.3">
      <c r="A119" s="50" t="s">
        <v>189</v>
      </c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</row>
    <row r="120" spans="1:13" hidden="1" x14ac:dyDescent="0.3">
      <c r="A120" s="50" t="s">
        <v>190</v>
      </c>
      <c r="B120" s="52">
        <v>11500</v>
      </c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</row>
    <row r="121" spans="1:13" hidden="1" x14ac:dyDescent="0.3">
      <c r="A121" s="50" t="s">
        <v>191</v>
      </c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</row>
    <row r="122" spans="1:13" hidden="1" x14ac:dyDescent="0.3">
      <c r="A122" s="50" t="s">
        <v>192</v>
      </c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</row>
    <row r="123" spans="1:13" hidden="1" x14ac:dyDescent="0.3">
      <c r="A123" s="50" t="s">
        <v>193</v>
      </c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</row>
    <row r="124" spans="1:13" hidden="1" x14ac:dyDescent="0.3">
      <c r="A124" s="50" t="s">
        <v>194</v>
      </c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</row>
    <row r="125" spans="1:13" hidden="1" x14ac:dyDescent="0.3">
      <c r="A125" s="50" t="s">
        <v>195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</row>
    <row r="126" spans="1:13" x14ac:dyDescent="0.3">
      <c r="A126" s="50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</row>
    <row r="127" spans="1:13" x14ac:dyDescent="0.3">
      <c r="A127" s="50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</row>
    <row r="128" spans="1:13" x14ac:dyDescent="0.3">
      <c r="A128" s="50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 t="s">
        <v>363</v>
      </c>
    </row>
  </sheetData>
  <pageMargins left="0.70866141732283472" right="0.70866141732283472" top="0.74803149606299213" bottom="0.74803149606299213" header="0.31496062992125984" footer="0.31496062992125984"/>
  <pageSetup paperSize="9" scale="65" orientation="portrait" horizontalDpi="4294967292" verticalDpi="0" r:id="rId1"/>
  <rowBreaks count="1" manualBreakCount="1">
    <brk id="9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042-7D97-4C56-A654-83CD51D52662}">
  <dimension ref="A1:U447"/>
  <sheetViews>
    <sheetView zoomScaleNormal="100" workbookViewId="0">
      <pane ySplit="1" topLeftCell="A62" activePane="bottomLeft" state="frozen"/>
      <selection pane="bottomLeft" activeCell="N114" sqref="N114"/>
    </sheetView>
  </sheetViews>
  <sheetFormatPr defaultColWidth="10.44140625" defaultRowHeight="14.4" x14ac:dyDescent="0.3"/>
  <cols>
    <col min="1" max="1" width="18.6640625" style="17" customWidth="1"/>
    <col min="2" max="5" width="0" style="17" hidden="1" customWidth="1"/>
    <col min="6" max="6" width="0" style="279" hidden="1" customWidth="1"/>
    <col min="7" max="7" width="0" style="280" hidden="1" customWidth="1"/>
    <col min="8" max="9" width="0" style="17" hidden="1" customWidth="1"/>
    <col min="10" max="10" width="5.5546875" style="17" hidden="1" customWidth="1"/>
    <col min="11" max="11" width="0" style="17" hidden="1" customWidth="1"/>
    <col min="12" max="12" width="10.44140625" style="17"/>
    <col min="13" max="13" width="4.88671875" style="17" customWidth="1"/>
    <col min="14" max="14" width="10.5546875" style="17" customWidth="1"/>
    <col min="15" max="15" width="13.33203125" style="17" customWidth="1"/>
    <col min="16" max="16" width="11.109375" style="17" customWidth="1"/>
    <col min="17" max="17" width="53.44140625" style="17" hidden="1" customWidth="1"/>
    <col min="18" max="18" width="10" style="17" customWidth="1"/>
    <col min="19" max="19" width="5.6640625" style="17" customWidth="1"/>
    <col min="20" max="16384" width="10.44140625" style="17"/>
  </cols>
  <sheetData>
    <row r="1" spans="1:20" s="273" customFormat="1" ht="57.6" x14ac:dyDescent="0.3">
      <c r="A1" s="270"/>
      <c r="B1" s="271" t="s">
        <v>95</v>
      </c>
      <c r="C1" s="271" t="s">
        <v>100</v>
      </c>
      <c r="D1" s="272" t="s">
        <v>536</v>
      </c>
      <c r="E1" s="271" t="s">
        <v>211</v>
      </c>
      <c r="F1" s="271" t="s">
        <v>510</v>
      </c>
      <c r="G1" s="271" t="s">
        <v>511</v>
      </c>
      <c r="H1" s="272" t="s">
        <v>559</v>
      </c>
      <c r="I1" s="272" t="s">
        <v>514</v>
      </c>
      <c r="J1" s="272"/>
      <c r="K1" s="272" t="s">
        <v>569</v>
      </c>
      <c r="L1" s="272" t="s">
        <v>575</v>
      </c>
      <c r="M1" s="272"/>
      <c r="N1" s="272" t="s">
        <v>589</v>
      </c>
      <c r="O1" s="272" t="s">
        <v>581</v>
      </c>
      <c r="P1" s="272" t="s">
        <v>582</v>
      </c>
      <c r="Q1" s="272" t="s">
        <v>512</v>
      </c>
      <c r="R1" s="272" t="s">
        <v>587</v>
      </c>
      <c r="T1" s="281" t="s">
        <v>597</v>
      </c>
    </row>
    <row r="2" spans="1:20" x14ac:dyDescent="0.3">
      <c r="A2" s="274" t="s">
        <v>267</v>
      </c>
      <c r="B2" s="54"/>
      <c r="C2" s="181"/>
      <c r="E2" s="54"/>
      <c r="F2" s="54"/>
      <c r="G2" s="54"/>
      <c r="H2" s="54"/>
      <c r="T2" s="282"/>
    </row>
    <row r="3" spans="1:20" x14ac:dyDescent="0.3">
      <c r="A3" s="273" t="s">
        <v>513</v>
      </c>
      <c r="B3" s="54"/>
      <c r="C3" s="181"/>
      <c r="E3" s="54"/>
      <c r="F3" s="54"/>
      <c r="G3" s="54">
        <v>0</v>
      </c>
      <c r="H3" s="54">
        <f>Receipts!D3+Receipts!D4+Receipts!D8</f>
        <v>193.64</v>
      </c>
      <c r="I3" s="17">
        <v>150</v>
      </c>
      <c r="L3" s="17">
        <v>300</v>
      </c>
      <c r="N3" s="17">
        <v>241.82</v>
      </c>
      <c r="O3" s="17">
        <v>485</v>
      </c>
      <c r="P3" s="17">
        <f>L3-O3</f>
        <v>-185</v>
      </c>
      <c r="Q3" s="17" t="s">
        <v>555</v>
      </c>
      <c r="T3" s="297">
        <v>298</v>
      </c>
    </row>
    <row r="4" spans="1:20" x14ac:dyDescent="0.3">
      <c r="A4" s="275" t="s">
        <v>509</v>
      </c>
      <c r="B4" s="54" t="s">
        <v>12</v>
      </c>
      <c r="C4" s="181" t="s">
        <v>10</v>
      </c>
      <c r="D4" s="17">
        <v>24500</v>
      </c>
      <c r="E4" s="54"/>
      <c r="F4" s="54">
        <v>24500</v>
      </c>
      <c r="G4" s="54">
        <v>27000</v>
      </c>
      <c r="H4" s="54">
        <v>27000</v>
      </c>
      <c r="I4" s="17">
        <v>0</v>
      </c>
      <c r="L4" s="17">
        <f>H4*0.0741+G4</f>
        <v>29000.7</v>
      </c>
      <c r="N4" s="17">
        <v>29000</v>
      </c>
      <c r="O4" s="17">
        <v>29000</v>
      </c>
      <c r="P4" s="17">
        <f>L4-O4</f>
        <v>0.7000000000007276</v>
      </c>
      <c r="Q4" s="17" t="s">
        <v>556</v>
      </c>
      <c r="T4" s="297">
        <v>30450</v>
      </c>
    </row>
    <row r="5" spans="1:20" x14ac:dyDescent="0.3">
      <c r="A5" s="276"/>
      <c r="B5" s="54"/>
      <c r="C5" s="181" t="s">
        <v>10</v>
      </c>
      <c r="E5" s="54"/>
      <c r="F5" s="54"/>
      <c r="G5" s="54"/>
      <c r="H5" s="54"/>
      <c r="L5" s="70"/>
      <c r="M5" s="70"/>
      <c r="N5" s="70"/>
      <c r="O5" s="70">
        <f>SUM(O3:O4)</f>
        <v>29485</v>
      </c>
      <c r="T5" s="297"/>
    </row>
    <row r="6" spans="1:20" ht="14.25" customHeight="1" x14ac:dyDescent="0.35">
      <c r="A6" s="277"/>
      <c r="B6" s="54"/>
      <c r="C6" s="181"/>
      <c r="E6" s="54"/>
      <c r="F6" s="54"/>
      <c r="G6" s="54"/>
      <c r="H6" s="54"/>
      <c r="R6" s="70">
        <f>SUM(P3:P5)</f>
        <v>-184.29999999999927</v>
      </c>
      <c r="T6" s="297">
        <f>SUM(T3:T5)</f>
        <v>30748</v>
      </c>
    </row>
    <row r="7" spans="1:20" x14ac:dyDescent="0.3">
      <c r="A7" s="274" t="s">
        <v>113</v>
      </c>
      <c r="B7" s="54"/>
      <c r="C7" s="181"/>
      <c r="E7" s="54"/>
      <c r="F7" s="54"/>
      <c r="G7" s="54"/>
      <c r="H7" s="54"/>
      <c r="T7" s="297" t="s">
        <v>588</v>
      </c>
    </row>
    <row r="8" spans="1:20" x14ac:dyDescent="0.3">
      <c r="A8" s="274" t="s">
        <v>277</v>
      </c>
      <c r="B8" s="54"/>
      <c r="C8" s="181"/>
      <c r="E8" s="54"/>
      <c r="F8" s="54"/>
      <c r="G8" s="54"/>
      <c r="H8" s="54"/>
      <c r="T8" s="297"/>
    </row>
    <row r="9" spans="1:20" x14ac:dyDescent="0.3">
      <c r="A9" s="276" t="s">
        <v>115</v>
      </c>
      <c r="B9" s="54"/>
      <c r="C9" s="181"/>
      <c r="D9" s="17">
        <v>7904</v>
      </c>
      <c r="E9" s="54"/>
      <c r="F9" s="54">
        <v>8664</v>
      </c>
      <c r="G9" s="54">
        <v>10980</v>
      </c>
      <c r="H9" s="54">
        <f>Payments!K49+Payments!M49+Payments!N49</f>
        <v>5513.1200000000008</v>
      </c>
      <c r="I9" s="17">
        <v>5850</v>
      </c>
      <c r="K9" s="17">
        <f>SUM(G9)-(H9+I9)</f>
        <v>-383.1200000000008</v>
      </c>
      <c r="L9" s="17">
        <f>'Assumptions '!B6</f>
        <v>11960</v>
      </c>
      <c r="N9" s="17">
        <v>5947.33</v>
      </c>
      <c r="O9" s="17">
        <f>N9*2</f>
        <v>11894.66</v>
      </c>
      <c r="P9" s="17">
        <f>L9-O9</f>
        <v>65.340000000000146</v>
      </c>
      <c r="Q9" s="17" t="s">
        <v>527</v>
      </c>
      <c r="T9" s="297">
        <v>12874</v>
      </c>
    </row>
    <row r="10" spans="1:20" x14ac:dyDescent="0.3">
      <c r="A10" s="276" t="s">
        <v>521</v>
      </c>
      <c r="B10" s="54"/>
      <c r="C10" s="181"/>
      <c r="D10" s="17">
        <v>0</v>
      </c>
      <c r="E10" s="54"/>
      <c r="F10" s="54">
        <v>0</v>
      </c>
      <c r="G10" s="54">
        <v>0</v>
      </c>
      <c r="H10" s="17">
        <v>0</v>
      </c>
      <c r="I10" s="17">
        <v>195</v>
      </c>
      <c r="K10" s="17">
        <f t="shared" ref="K10:K70" si="0">SUM(G10)-(H10+I10)</f>
        <v>-195</v>
      </c>
      <c r="L10" s="17">
        <f>'Assumptions '!B10</f>
        <v>1044</v>
      </c>
      <c r="N10" s="17">
        <v>536.1</v>
      </c>
      <c r="O10" s="17">
        <v>1200</v>
      </c>
      <c r="P10" s="17">
        <f>L10-O10</f>
        <v>-156</v>
      </c>
      <c r="Q10" s="17" t="s">
        <v>515</v>
      </c>
      <c r="T10" s="297">
        <v>1182</v>
      </c>
    </row>
    <row r="11" spans="1:20" x14ac:dyDescent="0.3">
      <c r="A11" s="276" t="s">
        <v>585</v>
      </c>
      <c r="B11" s="54"/>
      <c r="C11" s="181"/>
      <c r="D11" s="17">
        <v>0</v>
      </c>
      <c r="E11" s="54"/>
      <c r="F11" s="54">
        <v>0</v>
      </c>
      <c r="G11" s="54">
        <v>0</v>
      </c>
      <c r="H11" s="17">
        <f>Payments!J49</f>
        <v>376.14</v>
      </c>
      <c r="I11" s="17">
        <v>1236</v>
      </c>
      <c r="K11" s="17">
        <f t="shared" si="0"/>
        <v>-1612.1399999999999</v>
      </c>
      <c r="L11" s="17">
        <f>L9*0.217</f>
        <v>2595.3200000000002</v>
      </c>
      <c r="N11" s="17">
        <v>665.97</v>
      </c>
      <c r="O11" s="17">
        <v>2581</v>
      </c>
      <c r="P11" s="17">
        <f>L11-O11</f>
        <v>14.320000000000164</v>
      </c>
      <c r="Q11" s="17" t="s">
        <v>583</v>
      </c>
      <c r="T11" s="297">
        <v>2794</v>
      </c>
    </row>
    <row r="12" spans="1:20" ht="28.8" x14ac:dyDescent="0.3">
      <c r="A12" s="276" t="s">
        <v>119</v>
      </c>
      <c r="B12" s="54"/>
      <c r="C12" s="181"/>
      <c r="D12" s="17">
        <v>318</v>
      </c>
      <c r="E12" s="54"/>
      <c r="F12" s="54">
        <v>318</v>
      </c>
      <c r="G12" s="54">
        <v>318</v>
      </c>
      <c r="H12" s="54">
        <v>156</v>
      </c>
      <c r="I12" s="17">
        <v>162</v>
      </c>
      <c r="K12" s="17">
        <f t="shared" si="0"/>
        <v>0</v>
      </c>
      <c r="L12" s="17">
        <f>'Assumptions '!B12</f>
        <v>312</v>
      </c>
      <c r="N12" s="17">
        <v>0</v>
      </c>
      <c r="O12" s="17">
        <f t="shared" ref="O12:O13" si="1">N12*2</f>
        <v>0</v>
      </c>
      <c r="P12" s="17">
        <f t="shared" ref="P12:P13" si="2">L12-O12</f>
        <v>312</v>
      </c>
      <c r="Q12" s="17" t="s">
        <v>578</v>
      </c>
      <c r="T12" s="297">
        <v>312</v>
      </c>
    </row>
    <row r="13" spans="1:20" x14ac:dyDescent="0.3">
      <c r="A13" s="276" t="s">
        <v>121</v>
      </c>
      <c r="B13" s="54"/>
      <c r="C13" s="181"/>
      <c r="D13" s="17">
        <v>55</v>
      </c>
      <c r="F13" s="54">
        <v>137</v>
      </c>
      <c r="G13" s="17">
        <v>137</v>
      </c>
      <c r="H13" s="17">
        <v>68</v>
      </c>
      <c r="I13" s="17">
        <v>68</v>
      </c>
      <c r="K13" s="17">
        <f t="shared" si="0"/>
        <v>1</v>
      </c>
      <c r="L13" s="17">
        <f>'Assumptions '!B16</f>
        <v>137.69999999999999</v>
      </c>
      <c r="N13" s="17">
        <v>0</v>
      </c>
      <c r="O13" s="17">
        <f t="shared" si="1"/>
        <v>0</v>
      </c>
      <c r="P13" s="17">
        <f t="shared" si="2"/>
        <v>137.69999999999999</v>
      </c>
      <c r="Q13" s="17" t="s">
        <v>531</v>
      </c>
      <c r="T13" s="297">
        <v>137</v>
      </c>
    </row>
    <row r="14" spans="1:20" x14ac:dyDescent="0.3">
      <c r="A14" s="276"/>
      <c r="B14" s="54"/>
      <c r="C14" s="181"/>
      <c r="F14" s="54"/>
      <c r="G14" s="17"/>
      <c r="R14" s="70">
        <f>SUM(P9:P13)</f>
        <v>373.3600000000003</v>
      </c>
      <c r="T14" s="298"/>
    </row>
    <row r="15" spans="1:20" ht="28.8" x14ac:dyDescent="0.3">
      <c r="A15" s="274" t="s">
        <v>168</v>
      </c>
      <c r="B15" s="54"/>
      <c r="C15" s="181"/>
      <c r="E15" s="54"/>
      <c r="F15" s="54"/>
      <c r="G15" s="54"/>
      <c r="H15" s="54"/>
      <c r="T15" s="297"/>
    </row>
    <row r="16" spans="1:20" x14ac:dyDescent="0.3">
      <c r="A16" s="276" t="s">
        <v>132</v>
      </c>
      <c r="B16" s="54"/>
      <c r="C16" s="181"/>
      <c r="D16" s="17">
        <v>240</v>
      </c>
      <c r="E16" s="54" t="s">
        <v>215</v>
      </c>
      <c r="F16" s="54">
        <v>126</v>
      </c>
      <c r="G16" s="54">
        <v>240</v>
      </c>
      <c r="H16" s="54">
        <v>108</v>
      </c>
      <c r="I16" s="17">
        <v>0</v>
      </c>
      <c r="K16" s="17">
        <f t="shared" si="0"/>
        <v>132</v>
      </c>
      <c r="L16" s="17">
        <v>108</v>
      </c>
      <c r="N16" s="17">
        <v>0</v>
      </c>
      <c r="O16" s="17">
        <f>L16</f>
        <v>108</v>
      </c>
      <c r="P16" s="17">
        <v>0</v>
      </c>
      <c r="Q16" s="17" t="s">
        <v>579</v>
      </c>
      <c r="T16" s="297">
        <v>108</v>
      </c>
    </row>
    <row r="17" spans="1:21" ht="28.8" x14ac:dyDescent="0.3">
      <c r="A17" s="273" t="s">
        <v>234</v>
      </c>
      <c r="B17" s="54"/>
      <c r="C17" s="181"/>
      <c r="D17" s="17">
        <v>250</v>
      </c>
      <c r="E17" s="54"/>
      <c r="F17" s="54">
        <v>45</v>
      </c>
      <c r="G17" s="54">
        <v>250</v>
      </c>
      <c r="H17" s="17">
        <v>45</v>
      </c>
      <c r="I17" s="17">
        <v>200</v>
      </c>
      <c r="K17" s="17">
        <f t="shared" si="0"/>
        <v>5</v>
      </c>
      <c r="L17" s="17">
        <v>250</v>
      </c>
      <c r="N17" s="17">
        <v>0</v>
      </c>
      <c r="O17" s="17">
        <v>230</v>
      </c>
      <c r="P17" s="17">
        <v>0</v>
      </c>
      <c r="Q17" s="17" t="s">
        <v>528</v>
      </c>
      <c r="T17" s="297">
        <v>250</v>
      </c>
    </row>
    <row r="18" spans="1:21" ht="28.8" x14ac:dyDescent="0.3">
      <c r="A18" s="273" t="s">
        <v>590</v>
      </c>
      <c r="B18" s="54"/>
      <c r="C18" s="181"/>
      <c r="D18" s="17">
        <v>330</v>
      </c>
      <c r="E18" s="54" t="s">
        <v>212</v>
      </c>
      <c r="F18" s="54">
        <v>240</v>
      </c>
      <c r="G18" s="54">
        <v>100</v>
      </c>
      <c r="H18" s="17">
        <v>0</v>
      </c>
      <c r="I18" s="17">
        <v>300</v>
      </c>
      <c r="K18" s="17">
        <f t="shared" si="0"/>
        <v>-200</v>
      </c>
      <c r="L18" s="17">
        <v>300</v>
      </c>
      <c r="N18" s="17">
        <v>0</v>
      </c>
      <c r="O18" s="17">
        <f t="shared" ref="O18:O23" si="3">L18</f>
        <v>300</v>
      </c>
      <c r="P18" s="17">
        <v>0</v>
      </c>
      <c r="Q18" s="17" t="s">
        <v>580</v>
      </c>
      <c r="T18" s="297">
        <v>315</v>
      </c>
    </row>
    <row r="19" spans="1:21" ht="28.8" x14ac:dyDescent="0.3">
      <c r="A19" s="276" t="s">
        <v>136</v>
      </c>
      <c r="B19" s="54"/>
      <c r="C19" s="181"/>
      <c r="D19" s="17">
        <v>500</v>
      </c>
      <c r="E19" s="54"/>
      <c r="F19" s="54">
        <v>190</v>
      </c>
      <c r="G19" s="54">
        <v>1200</v>
      </c>
      <c r="H19" s="17">
        <v>0</v>
      </c>
      <c r="I19" s="17">
        <v>1200</v>
      </c>
      <c r="K19" s="17">
        <f t="shared" si="0"/>
        <v>0</v>
      </c>
      <c r="L19" s="17">
        <v>1200</v>
      </c>
      <c r="N19" s="17">
        <v>0</v>
      </c>
      <c r="O19" s="17">
        <f t="shared" si="3"/>
        <v>1200</v>
      </c>
      <c r="P19" s="17">
        <v>0</v>
      </c>
      <c r="Q19" s="17" t="s">
        <v>580</v>
      </c>
      <c r="T19" s="297">
        <v>1300</v>
      </c>
    </row>
    <row r="20" spans="1:21" ht="28.8" x14ac:dyDescent="0.3">
      <c r="A20" s="273" t="s">
        <v>236</v>
      </c>
      <c r="B20" s="54"/>
      <c r="C20" s="181"/>
      <c r="D20" s="17">
        <v>550</v>
      </c>
      <c r="E20" s="54"/>
      <c r="F20" s="54">
        <v>725</v>
      </c>
      <c r="G20" s="54">
        <v>300</v>
      </c>
      <c r="H20" s="17">
        <v>0</v>
      </c>
      <c r="I20" s="17">
        <v>300</v>
      </c>
      <c r="K20" s="17">
        <f t="shared" si="0"/>
        <v>0</v>
      </c>
      <c r="L20" s="17">
        <v>300</v>
      </c>
      <c r="N20" s="17">
        <v>0</v>
      </c>
      <c r="O20" s="17">
        <f t="shared" si="3"/>
        <v>300</v>
      </c>
      <c r="P20" s="17">
        <v>0</v>
      </c>
      <c r="Q20" s="17" t="s">
        <v>580</v>
      </c>
      <c r="T20" s="297">
        <v>330</v>
      </c>
    </row>
    <row r="21" spans="1:21" x14ac:dyDescent="0.3">
      <c r="A21" s="276" t="s">
        <v>11</v>
      </c>
      <c r="B21" s="54"/>
      <c r="C21" s="181"/>
      <c r="D21" s="17">
        <v>550</v>
      </c>
      <c r="E21" s="54" t="s">
        <v>212</v>
      </c>
      <c r="F21" s="54">
        <v>477.93</v>
      </c>
      <c r="G21" s="54">
        <v>800</v>
      </c>
      <c r="H21" s="17">
        <v>370</v>
      </c>
      <c r="I21" s="17">
        <v>370</v>
      </c>
      <c r="K21" s="17">
        <f t="shared" si="0"/>
        <v>60</v>
      </c>
      <c r="L21" s="17">
        <v>800</v>
      </c>
      <c r="N21" s="17">
        <v>279.24</v>
      </c>
      <c r="O21" s="17">
        <v>700</v>
      </c>
      <c r="P21" s="17">
        <f>L21-O21</f>
        <v>100</v>
      </c>
      <c r="Q21" s="17" t="s">
        <v>584</v>
      </c>
      <c r="T21" s="297">
        <v>570</v>
      </c>
    </row>
    <row r="22" spans="1:21" x14ac:dyDescent="0.3">
      <c r="A22" s="276" t="s">
        <v>532</v>
      </c>
      <c r="B22" s="54"/>
      <c r="C22" s="181"/>
      <c r="D22" s="17">
        <v>76</v>
      </c>
      <c r="E22" s="54"/>
      <c r="F22" s="54">
        <v>0</v>
      </c>
      <c r="G22" s="17">
        <v>0</v>
      </c>
      <c r="H22" s="17">
        <v>0</v>
      </c>
      <c r="I22" s="17">
        <v>0</v>
      </c>
      <c r="K22" s="17">
        <f t="shared" si="0"/>
        <v>0</v>
      </c>
      <c r="L22" s="17">
        <v>100</v>
      </c>
      <c r="N22" s="17">
        <v>0</v>
      </c>
      <c r="O22" s="17">
        <v>0</v>
      </c>
      <c r="P22" s="17">
        <f t="shared" ref="P22:P64" si="4">L22-O22</f>
        <v>100</v>
      </c>
      <c r="Q22" s="17" t="s">
        <v>551</v>
      </c>
      <c r="T22" s="297">
        <v>100</v>
      </c>
    </row>
    <row r="23" spans="1:21" x14ac:dyDescent="0.3">
      <c r="A23" s="273" t="s">
        <v>591</v>
      </c>
      <c r="B23" s="54"/>
      <c r="C23" s="181"/>
      <c r="D23" s="17">
        <v>0</v>
      </c>
      <c r="E23" s="54"/>
      <c r="F23" s="54">
        <v>0</v>
      </c>
      <c r="G23" s="17">
        <v>0</v>
      </c>
      <c r="H23" s="17">
        <v>0</v>
      </c>
      <c r="I23" s="17">
        <v>0</v>
      </c>
      <c r="K23" s="17">
        <f t="shared" si="0"/>
        <v>0</v>
      </c>
      <c r="L23" s="17">
        <v>300</v>
      </c>
      <c r="N23" s="17">
        <v>0</v>
      </c>
      <c r="O23" s="17">
        <f t="shared" si="3"/>
        <v>300</v>
      </c>
      <c r="P23" s="17">
        <f t="shared" si="4"/>
        <v>0</v>
      </c>
      <c r="Q23" s="17" t="s">
        <v>580</v>
      </c>
      <c r="T23" s="297">
        <v>330</v>
      </c>
    </row>
    <row r="24" spans="1:21" x14ac:dyDescent="0.3">
      <c r="A24" s="273" t="s">
        <v>543</v>
      </c>
      <c r="B24" s="54"/>
      <c r="C24" s="181"/>
      <c r="D24" s="17">
        <v>350</v>
      </c>
      <c r="E24" s="54"/>
      <c r="F24" s="54">
        <v>350</v>
      </c>
      <c r="G24" s="54">
        <v>350</v>
      </c>
      <c r="H24" s="17">
        <v>350</v>
      </c>
      <c r="K24" s="17">
        <f t="shared" si="0"/>
        <v>0</v>
      </c>
      <c r="L24" s="17">
        <v>370</v>
      </c>
      <c r="N24" s="17">
        <v>350</v>
      </c>
      <c r="O24" s="17">
        <v>350</v>
      </c>
      <c r="P24" s="17">
        <f t="shared" si="4"/>
        <v>20</v>
      </c>
      <c r="Q24" s="17" t="s">
        <v>552</v>
      </c>
      <c r="T24" s="297">
        <v>350</v>
      </c>
    </row>
    <row r="25" spans="1:21" x14ac:dyDescent="0.3">
      <c r="A25" s="273"/>
      <c r="B25" s="54"/>
      <c r="C25" s="181"/>
      <c r="E25" s="54"/>
      <c r="F25" s="54"/>
      <c r="G25" s="54"/>
      <c r="H25" s="54"/>
      <c r="R25" s="70">
        <f>SUM(P16:P24)</f>
        <v>220</v>
      </c>
      <c r="T25" s="298"/>
      <c r="U25" s="70"/>
    </row>
    <row r="26" spans="1:21" x14ac:dyDescent="0.3">
      <c r="A26" s="274" t="s">
        <v>533</v>
      </c>
      <c r="B26" s="54"/>
      <c r="C26" s="181"/>
      <c r="E26" s="54"/>
      <c r="F26" s="54"/>
      <c r="G26" s="54"/>
      <c r="H26" s="54"/>
      <c r="T26" s="297"/>
    </row>
    <row r="27" spans="1:21" x14ac:dyDescent="0.3">
      <c r="A27" s="276" t="s">
        <v>160</v>
      </c>
      <c r="B27" s="54"/>
      <c r="C27" s="181"/>
      <c r="D27" s="17">
        <v>200</v>
      </c>
      <c r="E27" s="54"/>
      <c r="F27" s="54">
        <v>150</v>
      </c>
      <c r="G27" s="54">
        <v>250</v>
      </c>
      <c r="H27" s="17">
        <v>240</v>
      </c>
      <c r="K27" s="17">
        <f t="shared" si="0"/>
        <v>10</v>
      </c>
      <c r="L27" s="17">
        <v>250</v>
      </c>
      <c r="N27" s="17">
        <v>200</v>
      </c>
      <c r="O27" s="17">
        <v>200</v>
      </c>
      <c r="P27" s="17">
        <f t="shared" si="4"/>
        <v>50</v>
      </c>
      <c r="Q27" s="17" t="s">
        <v>553</v>
      </c>
      <c r="T27" s="297">
        <v>210</v>
      </c>
    </row>
    <row r="28" spans="1:21" x14ac:dyDescent="0.3">
      <c r="A28" s="276" t="s">
        <v>161</v>
      </c>
      <c r="B28" s="54"/>
      <c r="C28" s="181"/>
      <c r="D28" s="17">
        <v>275</v>
      </c>
      <c r="E28" s="54" t="s">
        <v>212</v>
      </c>
      <c r="F28" s="54">
        <v>210</v>
      </c>
      <c r="G28" s="54">
        <v>280</v>
      </c>
      <c r="H28" s="17">
        <v>0</v>
      </c>
      <c r="I28" s="17">
        <v>210</v>
      </c>
      <c r="K28" s="17">
        <f t="shared" si="0"/>
        <v>70</v>
      </c>
      <c r="L28" s="17">
        <v>230</v>
      </c>
      <c r="N28" s="17">
        <v>210</v>
      </c>
      <c r="O28" s="17">
        <v>210</v>
      </c>
      <c r="P28" s="17">
        <f t="shared" si="4"/>
        <v>20</v>
      </c>
      <c r="Q28" s="17" t="s">
        <v>552</v>
      </c>
      <c r="T28" s="297">
        <v>220</v>
      </c>
    </row>
    <row r="29" spans="1:21" ht="28.8" x14ac:dyDescent="0.3">
      <c r="A29" s="276" t="s">
        <v>126</v>
      </c>
      <c r="B29" s="54"/>
      <c r="C29" s="181"/>
      <c r="D29" s="17">
        <v>1000</v>
      </c>
      <c r="E29" s="54"/>
      <c r="F29" s="54">
        <v>908.48</v>
      </c>
      <c r="G29" s="17">
        <v>1500</v>
      </c>
      <c r="H29" s="17">
        <v>1040</v>
      </c>
      <c r="I29" s="17">
        <v>0</v>
      </c>
      <c r="K29" s="17">
        <f t="shared" si="0"/>
        <v>460</v>
      </c>
      <c r="L29" s="17">
        <v>1350</v>
      </c>
      <c r="N29" s="17">
        <v>1134</v>
      </c>
      <c r="O29" s="17">
        <v>1134</v>
      </c>
      <c r="P29" s="17">
        <f t="shared" si="4"/>
        <v>216</v>
      </c>
      <c r="Q29" s="17" t="s">
        <v>550</v>
      </c>
      <c r="T29" s="297">
        <v>1160</v>
      </c>
    </row>
    <row r="30" spans="1:21" x14ac:dyDescent="0.3">
      <c r="A30" s="276"/>
      <c r="B30" s="54"/>
      <c r="C30" s="181"/>
      <c r="E30" s="54"/>
      <c r="F30" s="54"/>
      <c r="G30" s="17"/>
      <c r="H30" s="54"/>
      <c r="T30" s="297"/>
    </row>
    <row r="31" spans="1:21" x14ac:dyDescent="0.3">
      <c r="A31" s="274" t="s">
        <v>144</v>
      </c>
      <c r="B31" s="54"/>
      <c r="C31" s="181"/>
      <c r="E31" s="54"/>
      <c r="F31" s="54"/>
      <c r="G31" s="54"/>
      <c r="H31" s="54"/>
      <c r="T31" s="297"/>
    </row>
    <row r="32" spans="1:21" x14ac:dyDescent="0.3">
      <c r="A32" s="276" t="s">
        <v>145</v>
      </c>
      <c r="B32" s="54"/>
      <c r="C32" s="181"/>
      <c r="D32" s="17">
        <v>280</v>
      </c>
      <c r="E32" s="54"/>
      <c r="F32" s="54">
        <v>280</v>
      </c>
      <c r="G32" s="54">
        <v>330</v>
      </c>
      <c r="H32" s="17">
        <v>280</v>
      </c>
      <c r="I32" s="17">
        <v>0</v>
      </c>
      <c r="K32" s="17">
        <f t="shared" si="0"/>
        <v>50</v>
      </c>
      <c r="L32" s="17">
        <v>308</v>
      </c>
      <c r="N32" s="17">
        <v>280</v>
      </c>
      <c r="O32" s="17">
        <v>280</v>
      </c>
      <c r="P32" s="17">
        <f t="shared" si="4"/>
        <v>28</v>
      </c>
      <c r="Q32" s="17" t="s">
        <v>212</v>
      </c>
      <c r="T32" s="297">
        <v>280</v>
      </c>
    </row>
    <row r="33" spans="1:21" x14ac:dyDescent="0.3">
      <c r="A33" s="276" t="s">
        <v>592</v>
      </c>
      <c r="B33" s="54"/>
      <c r="C33" s="181"/>
      <c r="E33" s="54"/>
      <c r="F33" s="54"/>
      <c r="G33" s="54"/>
      <c r="H33" s="17">
        <v>0</v>
      </c>
      <c r="I33" s="17">
        <v>476</v>
      </c>
      <c r="K33" s="17">
        <f t="shared" si="0"/>
        <v>-476</v>
      </c>
      <c r="L33" s="17">
        <v>480</v>
      </c>
      <c r="N33" s="17">
        <v>625.4</v>
      </c>
      <c r="O33" s="17">
        <v>1122</v>
      </c>
      <c r="P33" s="17">
        <f t="shared" si="4"/>
        <v>-642</v>
      </c>
      <c r="Q33" s="17" t="s">
        <v>212</v>
      </c>
      <c r="T33" s="297">
        <v>992</v>
      </c>
    </row>
    <row r="34" spans="1:21" x14ac:dyDescent="0.3">
      <c r="A34" s="276"/>
      <c r="B34" s="54"/>
      <c r="C34" s="181"/>
      <c r="D34" s="17">
        <v>310</v>
      </c>
      <c r="E34" s="54"/>
      <c r="F34" s="54">
        <v>128</v>
      </c>
      <c r="G34" s="274">
        <v>150</v>
      </c>
      <c r="H34" s="17">
        <v>0</v>
      </c>
      <c r="I34" s="17">
        <v>0</v>
      </c>
      <c r="K34" s="17">
        <f t="shared" si="0"/>
        <v>150</v>
      </c>
      <c r="Q34" s="17" t="s">
        <v>544</v>
      </c>
      <c r="T34" s="297"/>
    </row>
    <row r="35" spans="1:21" x14ac:dyDescent="0.3">
      <c r="A35" s="276"/>
      <c r="B35" s="54"/>
      <c r="C35" s="181"/>
      <c r="E35" s="54"/>
      <c r="F35" s="54"/>
      <c r="G35" s="274"/>
      <c r="R35" s="70">
        <f>SUM(P32:P34)</f>
        <v>-614</v>
      </c>
      <c r="T35" s="298"/>
      <c r="U35" s="70"/>
    </row>
    <row r="36" spans="1:21" x14ac:dyDescent="0.3">
      <c r="A36" s="274" t="s">
        <v>21</v>
      </c>
      <c r="B36" s="54"/>
      <c r="C36" s="181"/>
      <c r="E36" s="54"/>
      <c r="F36" s="54"/>
      <c r="G36" s="54"/>
      <c r="H36" s="54"/>
      <c r="T36" s="297"/>
    </row>
    <row r="37" spans="1:21" x14ac:dyDescent="0.3">
      <c r="A37" s="273" t="s">
        <v>577</v>
      </c>
      <c r="B37" s="54"/>
      <c r="C37" s="181"/>
      <c r="D37" s="17">
        <v>140</v>
      </c>
      <c r="E37" s="54"/>
      <c r="F37" s="54">
        <v>140</v>
      </c>
      <c r="G37" s="54">
        <v>160</v>
      </c>
      <c r="H37" s="17">
        <v>0</v>
      </c>
      <c r="I37" s="17">
        <v>160</v>
      </c>
      <c r="K37" s="17">
        <f t="shared" si="0"/>
        <v>0</v>
      </c>
      <c r="L37" s="17">
        <v>400</v>
      </c>
      <c r="N37" s="17">
        <v>0</v>
      </c>
      <c r="O37" s="17">
        <v>200</v>
      </c>
      <c r="P37" s="17">
        <f t="shared" si="4"/>
        <v>200</v>
      </c>
      <c r="Q37" s="17" t="s">
        <v>554</v>
      </c>
      <c r="T37" s="297">
        <v>200</v>
      </c>
    </row>
    <row r="38" spans="1:21" x14ac:dyDescent="0.3">
      <c r="A38" s="276" t="s">
        <v>146</v>
      </c>
      <c r="B38" s="54"/>
      <c r="C38" s="181"/>
      <c r="E38" s="54"/>
      <c r="F38" s="54">
        <v>45</v>
      </c>
      <c r="G38" s="54">
        <v>45</v>
      </c>
      <c r="H38" s="17">
        <v>45</v>
      </c>
      <c r="I38" s="17">
        <v>0</v>
      </c>
      <c r="K38" s="17">
        <f t="shared" si="0"/>
        <v>0</v>
      </c>
      <c r="L38" s="17">
        <v>50</v>
      </c>
      <c r="N38" s="17">
        <v>45</v>
      </c>
      <c r="O38" s="17">
        <v>45</v>
      </c>
      <c r="P38" s="17">
        <f t="shared" si="4"/>
        <v>5</v>
      </c>
      <c r="T38" s="297">
        <v>50</v>
      </c>
    </row>
    <row r="39" spans="1:21" x14ac:dyDescent="0.3">
      <c r="A39" s="276" t="s">
        <v>150</v>
      </c>
      <c r="B39" s="54"/>
      <c r="C39" s="181"/>
      <c r="E39" s="54"/>
      <c r="F39" s="54">
        <v>0</v>
      </c>
      <c r="G39" s="54">
        <v>45</v>
      </c>
      <c r="H39" s="17">
        <v>0</v>
      </c>
      <c r="I39" s="17">
        <v>45</v>
      </c>
      <c r="K39" s="17">
        <f t="shared" si="0"/>
        <v>0</v>
      </c>
      <c r="L39" s="17">
        <v>50</v>
      </c>
      <c r="N39" s="17">
        <v>0</v>
      </c>
      <c r="O39" s="17">
        <v>50</v>
      </c>
      <c r="P39" s="17">
        <f t="shared" si="4"/>
        <v>0</v>
      </c>
      <c r="T39" s="297">
        <v>50</v>
      </c>
    </row>
    <row r="40" spans="1:21" x14ac:dyDescent="0.3">
      <c r="A40" s="276" t="s">
        <v>151</v>
      </c>
      <c r="B40" s="54"/>
      <c r="C40" s="181"/>
      <c r="E40" s="54"/>
      <c r="F40" s="54">
        <v>0</v>
      </c>
      <c r="G40" s="54">
        <v>35</v>
      </c>
      <c r="H40" s="17">
        <v>0</v>
      </c>
      <c r="I40" s="17">
        <v>35</v>
      </c>
      <c r="K40" s="17">
        <f t="shared" si="0"/>
        <v>0</v>
      </c>
      <c r="L40" s="17">
        <v>40</v>
      </c>
      <c r="N40" s="17">
        <v>0</v>
      </c>
      <c r="O40" s="17">
        <v>40</v>
      </c>
      <c r="P40" s="17">
        <f t="shared" si="4"/>
        <v>0</v>
      </c>
      <c r="T40" s="297">
        <v>40</v>
      </c>
    </row>
    <row r="41" spans="1:21" ht="28.8" x14ac:dyDescent="0.3">
      <c r="A41" s="276" t="s">
        <v>573</v>
      </c>
      <c r="B41" s="54"/>
      <c r="C41" s="181"/>
      <c r="D41" s="17">
        <v>0</v>
      </c>
      <c r="E41" s="54"/>
      <c r="F41" s="54">
        <v>25</v>
      </c>
      <c r="G41" s="17">
        <v>40</v>
      </c>
      <c r="H41" s="17">
        <v>0</v>
      </c>
      <c r="I41" s="17">
        <v>40</v>
      </c>
      <c r="K41" s="17">
        <f t="shared" si="0"/>
        <v>0</v>
      </c>
      <c r="L41" s="17">
        <v>50</v>
      </c>
      <c r="N41" s="17">
        <v>25</v>
      </c>
      <c r="O41" s="17">
        <v>25</v>
      </c>
      <c r="P41" s="17">
        <f t="shared" si="4"/>
        <v>25</v>
      </c>
      <c r="T41" s="297">
        <v>0</v>
      </c>
    </row>
    <row r="42" spans="1:21" x14ac:dyDescent="0.3">
      <c r="A42" s="276"/>
      <c r="B42" s="54"/>
      <c r="C42" s="181"/>
      <c r="E42" s="54"/>
      <c r="F42" s="54"/>
      <c r="G42" s="17"/>
      <c r="R42" s="70">
        <f>SUM(P37:P41)</f>
        <v>230</v>
      </c>
      <c r="T42" s="298"/>
      <c r="U42" s="70"/>
    </row>
    <row r="43" spans="1:21" ht="28.8" x14ac:dyDescent="0.3">
      <c r="A43" s="274" t="s">
        <v>534</v>
      </c>
      <c r="B43" s="54"/>
      <c r="C43" s="181"/>
      <c r="E43" s="54"/>
      <c r="F43" s="54"/>
      <c r="G43" s="54"/>
      <c r="P43" s="17">
        <f t="shared" si="4"/>
        <v>0</v>
      </c>
      <c r="T43" s="297"/>
    </row>
    <row r="44" spans="1:21" x14ac:dyDescent="0.3">
      <c r="A44" s="273" t="s">
        <v>238</v>
      </c>
      <c r="B44" s="54"/>
      <c r="C44" s="181"/>
      <c r="D44" s="17">
        <v>400</v>
      </c>
      <c r="E44" s="54"/>
      <c r="F44" s="54">
        <f>Payments!O103</f>
        <v>0</v>
      </c>
      <c r="G44" s="54">
        <v>300</v>
      </c>
      <c r="H44" s="17">
        <v>0</v>
      </c>
      <c r="K44" s="17">
        <f t="shared" si="0"/>
        <v>300</v>
      </c>
      <c r="L44" s="17">
        <v>1165</v>
      </c>
      <c r="N44" s="17">
        <v>40</v>
      </c>
      <c r="O44" s="17">
        <v>40</v>
      </c>
      <c r="P44" s="17">
        <f>L44-O44</f>
        <v>1125</v>
      </c>
      <c r="Q44" s="17" t="s">
        <v>558</v>
      </c>
      <c r="T44" s="297">
        <v>74</v>
      </c>
    </row>
    <row r="45" spans="1:21" ht="28.8" x14ac:dyDescent="0.3">
      <c r="A45" s="273" t="s">
        <v>568</v>
      </c>
      <c r="B45" s="54"/>
      <c r="C45" s="181"/>
      <c r="D45" s="17">
        <v>45</v>
      </c>
      <c r="E45" s="54"/>
      <c r="F45" s="54">
        <v>45</v>
      </c>
      <c r="G45" s="17">
        <v>0</v>
      </c>
      <c r="H45" s="17">
        <v>0</v>
      </c>
      <c r="I45" s="17">
        <v>45</v>
      </c>
      <c r="L45" s="17">
        <v>70</v>
      </c>
      <c r="N45" s="17">
        <v>0</v>
      </c>
      <c r="O45" s="17">
        <v>70</v>
      </c>
      <c r="P45" s="17">
        <f t="shared" si="4"/>
        <v>0</v>
      </c>
      <c r="T45" s="297">
        <v>70</v>
      </c>
    </row>
    <row r="46" spans="1:21" ht="28.8" x14ac:dyDescent="0.3">
      <c r="A46" s="276" t="s">
        <v>567</v>
      </c>
      <c r="B46" s="54"/>
      <c r="C46" s="181"/>
      <c r="D46" s="17">
        <v>35</v>
      </c>
      <c r="E46" s="54"/>
      <c r="F46" s="54">
        <v>25</v>
      </c>
      <c r="G46" s="54">
        <v>25</v>
      </c>
      <c r="H46" s="17">
        <v>0</v>
      </c>
      <c r="I46" s="17">
        <v>25</v>
      </c>
      <c r="K46" s="17">
        <f t="shared" si="0"/>
        <v>0</v>
      </c>
      <c r="L46" s="17">
        <v>70</v>
      </c>
      <c r="N46" s="17">
        <v>0</v>
      </c>
      <c r="O46" s="17">
        <v>70</v>
      </c>
      <c r="P46" s="17">
        <f t="shared" si="4"/>
        <v>0</v>
      </c>
      <c r="T46" s="297">
        <v>70</v>
      </c>
    </row>
    <row r="47" spans="1:21" x14ac:dyDescent="0.3">
      <c r="A47" s="276" t="s">
        <v>155</v>
      </c>
      <c r="B47" s="54"/>
      <c r="C47" s="181"/>
      <c r="D47" s="17">
        <v>600</v>
      </c>
      <c r="E47" s="54"/>
      <c r="F47" s="54">
        <v>0</v>
      </c>
      <c r="G47" s="54">
        <v>400</v>
      </c>
      <c r="H47" s="17">
        <v>0</v>
      </c>
      <c r="I47" s="17">
        <v>700</v>
      </c>
      <c r="K47" s="17">
        <f t="shared" si="0"/>
        <v>-300</v>
      </c>
      <c r="L47" s="17">
        <v>700</v>
      </c>
      <c r="N47" s="17">
        <v>0</v>
      </c>
      <c r="O47" s="17">
        <v>700</v>
      </c>
      <c r="P47" s="17">
        <f t="shared" si="4"/>
        <v>0</v>
      </c>
      <c r="T47" s="297">
        <v>700</v>
      </c>
    </row>
    <row r="48" spans="1:21" x14ac:dyDescent="0.3">
      <c r="A48" s="276" t="s">
        <v>156</v>
      </c>
      <c r="B48" s="54"/>
      <c r="C48" s="181"/>
      <c r="D48" s="17">
        <v>250</v>
      </c>
      <c r="E48" s="54"/>
      <c r="F48" s="54">
        <v>0</v>
      </c>
      <c r="G48" s="54">
        <v>250</v>
      </c>
      <c r="H48" s="17">
        <v>0</v>
      </c>
      <c r="I48" s="17">
        <v>250</v>
      </c>
      <c r="K48" s="17">
        <f t="shared" si="0"/>
        <v>0</v>
      </c>
      <c r="L48" s="17">
        <v>250</v>
      </c>
      <c r="N48" s="17">
        <v>0</v>
      </c>
      <c r="O48" s="17">
        <v>250</v>
      </c>
      <c r="P48" s="17">
        <f t="shared" si="4"/>
        <v>0</v>
      </c>
      <c r="T48" s="297">
        <v>250</v>
      </c>
    </row>
    <row r="49" spans="1:21" ht="28.8" x14ac:dyDescent="0.3">
      <c r="A49" s="276" t="s">
        <v>158</v>
      </c>
      <c r="B49" s="54"/>
      <c r="C49" s="181"/>
      <c r="D49" s="17">
        <v>1000</v>
      </c>
      <c r="E49" s="54"/>
      <c r="F49" s="54">
        <v>1000</v>
      </c>
      <c r="G49" s="54">
        <v>1200</v>
      </c>
      <c r="H49" s="17">
        <v>0</v>
      </c>
      <c r="I49" s="17">
        <v>1000</v>
      </c>
      <c r="K49" s="17">
        <f t="shared" si="0"/>
        <v>200</v>
      </c>
      <c r="L49" s="17">
        <v>1000</v>
      </c>
      <c r="N49" s="17">
        <v>0</v>
      </c>
      <c r="O49" s="17">
        <v>1000</v>
      </c>
      <c r="P49" s="17">
        <f t="shared" si="4"/>
        <v>0</v>
      </c>
      <c r="T49" s="297">
        <v>1000</v>
      </c>
    </row>
    <row r="50" spans="1:21" x14ac:dyDescent="0.3">
      <c r="A50" s="273" t="s">
        <v>216</v>
      </c>
      <c r="B50" s="54"/>
      <c r="C50" s="181"/>
      <c r="D50" s="17">
        <v>1000</v>
      </c>
      <c r="E50" s="54"/>
      <c r="F50" s="54">
        <v>810</v>
      </c>
      <c r="G50" s="54">
        <v>1000</v>
      </c>
      <c r="H50" s="17">
        <v>0</v>
      </c>
      <c r="I50" s="17">
        <v>380</v>
      </c>
      <c r="K50" s="17">
        <f t="shared" si="0"/>
        <v>620</v>
      </c>
      <c r="L50" s="17">
        <v>1000</v>
      </c>
      <c r="N50" s="17">
        <v>0</v>
      </c>
      <c r="O50" s="17">
        <v>350</v>
      </c>
      <c r="P50" s="17">
        <f t="shared" si="4"/>
        <v>650</v>
      </c>
      <c r="T50" s="297">
        <v>400</v>
      </c>
    </row>
    <row r="51" spans="1:21" ht="28.8" x14ac:dyDescent="0.3">
      <c r="A51" s="273" t="s">
        <v>535</v>
      </c>
      <c r="B51" s="54"/>
      <c r="C51" s="181"/>
      <c r="D51" s="17">
        <v>0</v>
      </c>
      <c r="E51" s="54"/>
      <c r="F51" s="54">
        <v>1000</v>
      </c>
      <c r="G51" s="17">
        <v>1000</v>
      </c>
      <c r="H51" s="17">
        <v>0</v>
      </c>
      <c r="I51" s="17">
        <v>0</v>
      </c>
      <c r="K51" s="17">
        <f t="shared" si="0"/>
        <v>1000</v>
      </c>
      <c r="L51" s="17">
        <v>300</v>
      </c>
      <c r="N51" s="17">
        <v>0</v>
      </c>
      <c r="O51" s="17">
        <v>0</v>
      </c>
      <c r="P51" s="17">
        <f t="shared" si="4"/>
        <v>300</v>
      </c>
      <c r="Q51" s="17" t="s">
        <v>574</v>
      </c>
      <c r="T51" s="297">
        <v>0</v>
      </c>
    </row>
    <row r="52" spans="1:21" x14ac:dyDescent="0.3">
      <c r="A52" s="70" t="s">
        <v>572</v>
      </c>
      <c r="D52" s="70">
        <f t="shared" ref="D52:I52" si="5">SUM(D44:D51)</f>
        <v>3330</v>
      </c>
      <c r="E52" s="70">
        <f t="shared" si="5"/>
        <v>0</v>
      </c>
      <c r="F52" s="70">
        <f t="shared" si="5"/>
        <v>2880</v>
      </c>
      <c r="G52" s="70">
        <f t="shared" si="5"/>
        <v>4175</v>
      </c>
      <c r="H52" s="70">
        <f t="shared" si="5"/>
        <v>0</v>
      </c>
      <c r="I52" s="70">
        <f t="shared" si="5"/>
        <v>2400</v>
      </c>
      <c r="J52" s="70"/>
      <c r="K52" s="70">
        <f>SUM(G52)-(H52+I52)</f>
        <v>1775</v>
      </c>
      <c r="L52" s="70">
        <f>SUM(L44:L51)</f>
        <v>4555</v>
      </c>
      <c r="M52" s="70"/>
      <c r="N52" s="70">
        <f>SUM(N44:N51)</f>
        <v>40</v>
      </c>
      <c r="O52" s="70"/>
      <c r="R52" s="70">
        <f>SUM(P44:P51)</f>
        <v>2075</v>
      </c>
      <c r="T52" s="298"/>
      <c r="U52" s="70"/>
    </row>
    <row r="53" spans="1:21" x14ac:dyDescent="0.3">
      <c r="A53" s="70"/>
      <c r="F53" s="17"/>
      <c r="G53" s="17"/>
      <c r="T53" s="297"/>
    </row>
    <row r="54" spans="1:21" x14ac:dyDescent="0.3">
      <c r="A54" s="274" t="s">
        <v>537</v>
      </c>
      <c r="F54" s="17"/>
      <c r="G54" s="17"/>
      <c r="T54" s="297"/>
    </row>
    <row r="55" spans="1:21" x14ac:dyDescent="0.3">
      <c r="A55" s="273" t="s">
        <v>538</v>
      </c>
      <c r="D55" s="17">
        <v>0</v>
      </c>
      <c r="F55" s="17">
        <v>68.84</v>
      </c>
      <c r="G55" s="17">
        <v>72</v>
      </c>
      <c r="H55" s="17">
        <v>36</v>
      </c>
      <c r="I55" s="17">
        <v>36</v>
      </c>
      <c r="K55" s="17">
        <f t="shared" si="0"/>
        <v>0</v>
      </c>
      <c r="L55" s="17">
        <v>81</v>
      </c>
      <c r="N55" s="17">
        <v>36</v>
      </c>
      <c r="O55" s="17">
        <v>72</v>
      </c>
      <c r="P55" s="17">
        <f t="shared" si="4"/>
        <v>9</v>
      </c>
      <c r="T55" s="297">
        <v>80</v>
      </c>
    </row>
    <row r="56" spans="1:21" x14ac:dyDescent="0.3">
      <c r="A56" s="273" t="s">
        <v>539</v>
      </c>
      <c r="D56" s="17">
        <v>350</v>
      </c>
      <c r="F56" s="17">
        <v>890</v>
      </c>
      <c r="G56" s="17">
        <v>500</v>
      </c>
      <c r="H56" s="17">
        <v>0</v>
      </c>
      <c r="I56" s="17">
        <v>200</v>
      </c>
      <c r="K56" s="17">
        <f t="shared" si="0"/>
        <v>300</v>
      </c>
      <c r="L56" s="17">
        <v>400</v>
      </c>
      <c r="N56" s="17">
        <v>0</v>
      </c>
      <c r="O56" s="17">
        <v>65</v>
      </c>
      <c r="P56" s="17">
        <f t="shared" si="4"/>
        <v>335</v>
      </c>
      <c r="T56" s="297">
        <v>250</v>
      </c>
    </row>
    <row r="57" spans="1:21" x14ac:dyDescent="0.3">
      <c r="A57" s="276" t="s">
        <v>540</v>
      </c>
      <c r="B57" s="54"/>
      <c r="C57" s="181"/>
      <c r="D57" s="17">
        <v>500</v>
      </c>
      <c r="E57" s="54"/>
      <c r="F57" s="54">
        <v>190</v>
      </c>
      <c r="G57" s="17">
        <v>600</v>
      </c>
      <c r="H57" s="17">
        <v>0</v>
      </c>
      <c r="I57" s="17">
        <v>150</v>
      </c>
      <c r="K57" s="17">
        <f t="shared" si="0"/>
        <v>450</v>
      </c>
      <c r="L57" s="17">
        <v>250</v>
      </c>
      <c r="N57" s="17">
        <v>65</v>
      </c>
      <c r="O57" s="17">
        <v>195</v>
      </c>
      <c r="P57" s="17">
        <f t="shared" si="4"/>
        <v>55</v>
      </c>
      <c r="Q57" s="17" t="s">
        <v>571</v>
      </c>
      <c r="T57" s="297">
        <v>250</v>
      </c>
    </row>
    <row r="58" spans="1:21" x14ac:dyDescent="0.3">
      <c r="A58" s="276" t="s">
        <v>545</v>
      </c>
      <c r="B58" s="54"/>
      <c r="C58" s="181"/>
      <c r="D58" s="17">
        <v>400</v>
      </c>
      <c r="E58" s="54"/>
      <c r="F58" s="54">
        <v>0</v>
      </c>
      <c r="G58" s="273">
        <v>400</v>
      </c>
      <c r="H58" s="17">
        <v>0</v>
      </c>
      <c r="I58" s="17">
        <v>0</v>
      </c>
      <c r="K58" s="17">
        <f t="shared" si="0"/>
        <v>400</v>
      </c>
      <c r="L58" s="17">
        <v>400</v>
      </c>
      <c r="N58" s="17">
        <v>0</v>
      </c>
      <c r="O58" s="17">
        <v>120</v>
      </c>
      <c r="P58" s="17">
        <f t="shared" si="4"/>
        <v>280</v>
      </c>
      <c r="T58" s="297">
        <v>150</v>
      </c>
    </row>
    <row r="59" spans="1:21" ht="28.8" x14ac:dyDescent="0.3">
      <c r="A59" s="276" t="s">
        <v>541</v>
      </c>
      <c r="B59" s="54"/>
      <c r="C59" s="181"/>
      <c r="D59" s="17">
        <v>0</v>
      </c>
      <c r="E59" s="54"/>
      <c r="F59" s="54">
        <v>0</v>
      </c>
      <c r="G59" s="273">
        <v>0</v>
      </c>
      <c r="H59" s="17">
        <v>0</v>
      </c>
      <c r="I59" s="17">
        <v>45</v>
      </c>
      <c r="K59" s="17">
        <f t="shared" si="0"/>
        <v>-45</v>
      </c>
      <c r="L59" s="17">
        <v>45</v>
      </c>
      <c r="N59" s="17">
        <v>0</v>
      </c>
      <c r="O59" s="17">
        <v>45</v>
      </c>
      <c r="P59" s="17">
        <f t="shared" si="4"/>
        <v>0</v>
      </c>
      <c r="T59" s="297">
        <v>50</v>
      </c>
    </row>
    <row r="60" spans="1:21" x14ac:dyDescent="0.3">
      <c r="A60" s="276" t="s">
        <v>542</v>
      </c>
      <c r="B60" s="54"/>
      <c r="C60" s="181"/>
      <c r="D60" s="17">
        <v>200</v>
      </c>
      <c r="E60" s="54"/>
      <c r="F60" s="54">
        <v>200</v>
      </c>
      <c r="G60" s="273">
        <v>200</v>
      </c>
      <c r="H60" s="17">
        <v>0</v>
      </c>
      <c r="I60" s="17">
        <v>200</v>
      </c>
      <c r="K60" s="17">
        <f t="shared" si="0"/>
        <v>0</v>
      </c>
      <c r="L60" s="17">
        <v>210</v>
      </c>
      <c r="N60" s="17">
        <v>0</v>
      </c>
      <c r="O60" s="17">
        <v>0</v>
      </c>
      <c r="P60" s="17">
        <f t="shared" si="4"/>
        <v>210</v>
      </c>
      <c r="T60" s="297">
        <v>200</v>
      </c>
    </row>
    <row r="61" spans="1:21" ht="28.8" x14ac:dyDescent="0.3">
      <c r="A61" s="276" t="s">
        <v>546</v>
      </c>
      <c r="B61" s="54"/>
      <c r="C61" s="181"/>
      <c r="E61" s="54"/>
      <c r="F61" s="54">
        <v>206</v>
      </c>
      <c r="G61" s="273">
        <v>150</v>
      </c>
      <c r="H61" s="17">
        <v>94</v>
      </c>
      <c r="I61" s="17">
        <v>60</v>
      </c>
      <c r="K61" s="17">
        <f t="shared" si="0"/>
        <v>-4</v>
      </c>
      <c r="L61" s="17">
        <v>150</v>
      </c>
      <c r="N61" s="17">
        <v>30</v>
      </c>
      <c r="O61" s="17">
        <v>100</v>
      </c>
      <c r="P61" s="17">
        <f t="shared" si="4"/>
        <v>50</v>
      </c>
      <c r="T61" s="297">
        <v>150</v>
      </c>
    </row>
    <row r="62" spans="1:21" x14ac:dyDescent="0.3">
      <c r="A62" s="276" t="s">
        <v>547</v>
      </c>
      <c r="B62" s="54"/>
      <c r="C62" s="181"/>
      <c r="D62" s="17">
        <v>75</v>
      </c>
      <c r="E62" s="54"/>
      <c r="F62" s="54">
        <v>76</v>
      </c>
      <c r="G62" s="273">
        <v>75</v>
      </c>
      <c r="H62" s="54">
        <v>0</v>
      </c>
      <c r="I62" s="17">
        <v>75</v>
      </c>
      <c r="K62" s="17">
        <f t="shared" si="0"/>
        <v>0</v>
      </c>
      <c r="L62" s="17">
        <v>75</v>
      </c>
      <c r="N62" s="17">
        <v>0</v>
      </c>
      <c r="O62" s="17">
        <v>0</v>
      </c>
      <c r="P62" s="17">
        <f t="shared" si="4"/>
        <v>75</v>
      </c>
      <c r="T62" s="297">
        <v>0</v>
      </c>
    </row>
    <row r="63" spans="1:21" ht="28.8" x14ac:dyDescent="0.3">
      <c r="A63" s="276" t="s">
        <v>596</v>
      </c>
      <c r="B63" s="54"/>
      <c r="C63" s="181"/>
      <c r="E63" s="54"/>
      <c r="F63" s="54"/>
      <c r="G63" s="273"/>
      <c r="H63" s="54"/>
      <c r="T63" s="297">
        <v>50</v>
      </c>
    </row>
    <row r="64" spans="1:21" ht="28.8" x14ac:dyDescent="0.3">
      <c r="A64" s="273" t="s">
        <v>570</v>
      </c>
      <c r="B64" s="54"/>
      <c r="C64" s="181"/>
      <c r="D64" s="17">
        <v>0</v>
      </c>
      <c r="E64" s="54"/>
      <c r="F64" s="54">
        <v>0</v>
      </c>
      <c r="G64" s="273">
        <v>300</v>
      </c>
      <c r="H64" s="17">
        <v>0</v>
      </c>
      <c r="I64" s="17">
        <v>0</v>
      </c>
      <c r="K64" s="17">
        <v>0</v>
      </c>
      <c r="L64" s="17">
        <v>150</v>
      </c>
      <c r="N64" s="17">
        <v>0</v>
      </c>
      <c r="O64" s="17">
        <v>0</v>
      </c>
      <c r="P64" s="17">
        <f t="shared" si="4"/>
        <v>150</v>
      </c>
      <c r="T64" s="297">
        <v>0</v>
      </c>
    </row>
    <row r="65" spans="1:20" x14ac:dyDescent="0.3">
      <c r="A65" s="273"/>
      <c r="B65" s="54"/>
      <c r="C65" s="181"/>
      <c r="E65" s="54"/>
      <c r="F65" s="54"/>
      <c r="G65" s="273"/>
      <c r="R65" s="70">
        <f>SUM(P55:P64)</f>
        <v>1164</v>
      </c>
      <c r="T65" s="297"/>
    </row>
    <row r="66" spans="1:20" x14ac:dyDescent="0.3">
      <c r="A66" s="274" t="s">
        <v>162</v>
      </c>
      <c r="B66" s="54"/>
      <c r="C66" s="181"/>
      <c r="E66" s="54"/>
      <c r="F66" s="54"/>
      <c r="G66" s="54"/>
      <c r="T66" s="297"/>
    </row>
    <row r="67" spans="1:20" ht="43.2" hidden="1" x14ac:dyDescent="0.3">
      <c r="A67" s="276" t="s">
        <v>241</v>
      </c>
      <c r="B67" s="54"/>
      <c r="C67" s="181"/>
      <c r="D67" s="17">
        <v>3000</v>
      </c>
      <c r="E67" s="17" t="s">
        <v>244</v>
      </c>
      <c r="F67" s="54">
        <v>4000</v>
      </c>
      <c r="G67" s="54">
        <v>0</v>
      </c>
      <c r="H67" s="17">
        <v>0</v>
      </c>
      <c r="I67" s="17">
        <v>0</v>
      </c>
      <c r="K67" s="17">
        <f t="shared" si="0"/>
        <v>0</v>
      </c>
      <c r="T67" s="297"/>
    </row>
    <row r="68" spans="1:20" ht="57.6" hidden="1" x14ac:dyDescent="0.3">
      <c r="A68" s="276" t="s">
        <v>166</v>
      </c>
      <c r="B68" s="54"/>
      <c r="C68" s="181" t="e">
        <f>SUM(#REF!-(#REF!+#REF!))</f>
        <v>#REF!</v>
      </c>
      <c r="D68" s="17">
        <v>1700</v>
      </c>
      <c r="E68" s="17" t="s">
        <v>240</v>
      </c>
      <c r="F68" s="54">
        <v>1700</v>
      </c>
      <c r="G68" s="54">
        <v>0</v>
      </c>
      <c r="I68" s="17">
        <v>0</v>
      </c>
      <c r="K68" s="17">
        <f t="shared" si="0"/>
        <v>0</v>
      </c>
      <c r="T68" s="297"/>
    </row>
    <row r="69" spans="1:20" ht="24" customHeight="1" x14ac:dyDescent="0.3">
      <c r="A69" s="276" t="s">
        <v>593</v>
      </c>
      <c r="B69" s="54"/>
      <c r="C69" s="181"/>
      <c r="D69" s="17">
        <v>0</v>
      </c>
      <c r="F69" s="54">
        <v>0</v>
      </c>
      <c r="G69" s="54">
        <v>0</v>
      </c>
      <c r="H69" s="17">
        <v>345</v>
      </c>
      <c r="I69" s="17">
        <v>0</v>
      </c>
      <c r="K69" s="17">
        <f t="shared" si="0"/>
        <v>-345</v>
      </c>
      <c r="T69" s="297">
        <v>400</v>
      </c>
    </row>
    <row r="70" spans="1:20" ht="27.75" customHeight="1" x14ac:dyDescent="0.3">
      <c r="A70" s="273" t="s">
        <v>595</v>
      </c>
      <c r="B70" s="54"/>
      <c r="C70" s="181"/>
      <c r="D70" s="17">
        <v>0</v>
      </c>
      <c r="F70" s="54">
        <v>0</v>
      </c>
      <c r="G70" s="54">
        <v>0</v>
      </c>
      <c r="H70" s="17">
        <v>1365</v>
      </c>
      <c r="I70" s="17">
        <v>0</v>
      </c>
      <c r="K70" s="17">
        <f t="shared" si="0"/>
        <v>-1365</v>
      </c>
      <c r="T70" s="297">
        <v>2000</v>
      </c>
    </row>
    <row r="71" spans="1:20" ht="28.8" x14ac:dyDescent="0.3">
      <c r="A71" s="273" t="s">
        <v>594</v>
      </c>
      <c r="B71" s="54"/>
      <c r="C71" s="181"/>
      <c r="E71" s="54"/>
      <c r="F71" s="54"/>
      <c r="G71" s="54"/>
      <c r="T71" s="297">
        <v>450</v>
      </c>
    </row>
    <row r="72" spans="1:20" x14ac:dyDescent="0.3">
      <c r="A72" s="274" t="s">
        <v>548</v>
      </c>
      <c r="B72" s="54"/>
      <c r="C72" s="181"/>
      <c r="D72" s="70">
        <f>SUM(D9:D71)-D52</f>
        <v>22883</v>
      </c>
      <c r="E72" s="70"/>
      <c r="F72" s="70">
        <f>SUM(F9:F71)-F52</f>
        <v>23370.25</v>
      </c>
      <c r="G72" s="70">
        <f>SUM(G9:G71)-G52</f>
        <v>23982</v>
      </c>
      <c r="H72" s="70">
        <f>SUM(H9:H71)</f>
        <v>10431.260000000002</v>
      </c>
      <c r="I72" s="70">
        <f>SUM(I9:I71)-I52</f>
        <v>14013</v>
      </c>
      <c r="J72" s="70"/>
      <c r="K72" s="70">
        <f>SUM(G72)-(H72+I72)-K52</f>
        <v>-2237.260000000002</v>
      </c>
      <c r="L72" s="70">
        <f>SUM(L9:L71)-L52</f>
        <v>29301.020000000004</v>
      </c>
      <c r="M72" s="70"/>
      <c r="N72" s="70">
        <f>SUM(N9:N71)</f>
        <v>10509.039999999999</v>
      </c>
      <c r="O72" s="70">
        <f>SUM(O9:O71)</f>
        <v>25546.66</v>
      </c>
      <c r="P72" s="70">
        <f>L72-O72</f>
        <v>3754.3600000000042</v>
      </c>
      <c r="R72" s="17">
        <f>SUM(P72:Q72)</f>
        <v>3754.3600000000042</v>
      </c>
      <c r="T72" s="297">
        <f>SUM(T9:T71)</f>
        <v>30748</v>
      </c>
    </row>
    <row r="73" spans="1:20" x14ac:dyDescent="0.3">
      <c r="A73" s="276"/>
      <c r="B73" s="54"/>
      <c r="C73" s="181"/>
      <c r="F73" s="54">
        <f>D72-F72</f>
        <v>-487.25</v>
      </c>
      <c r="G73" s="54"/>
      <c r="T73" s="17">
        <f>T6-T72</f>
        <v>0</v>
      </c>
    </row>
    <row r="74" spans="1:20" x14ac:dyDescent="0.3">
      <c r="A74" s="276"/>
      <c r="B74" s="54"/>
      <c r="C74" s="181"/>
      <c r="E74" s="54"/>
      <c r="F74" s="54"/>
      <c r="G74" s="17"/>
      <c r="H74" s="54"/>
    </row>
    <row r="75" spans="1:20" x14ac:dyDescent="0.3">
      <c r="A75" s="276"/>
      <c r="B75" s="54"/>
      <c r="C75" s="181"/>
      <c r="E75" s="54"/>
      <c r="F75" s="54"/>
      <c r="G75" s="17"/>
      <c r="H75" s="54"/>
    </row>
    <row r="76" spans="1:20" x14ac:dyDescent="0.3">
      <c r="A76" s="276"/>
      <c r="B76" s="54"/>
      <c r="C76" s="181"/>
      <c r="E76" s="54"/>
      <c r="F76" s="54"/>
      <c r="G76" s="17"/>
    </row>
    <row r="77" spans="1:20" x14ac:dyDescent="0.3">
      <c r="A77" s="276"/>
      <c r="B77" s="54"/>
      <c r="C77" s="181"/>
      <c r="E77" s="54"/>
      <c r="F77" s="54"/>
      <c r="G77" s="17"/>
      <c r="H77" s="54"/>
    </row>
    <row r="78" spans="1:20" x14ac:dyDescent="0.3">
      <c r="F78" s="17"/>
      <c r="G78" s="17"/>
    </row>
    <row r="79" spans="1:20" x14ac:dyDescent="0.3">
      <c r="A79" s="276"/>
      <c r="B79" s="54"/>
      <c r="C79" s="181"/>
      <c r="E79" s="54"/>
      <c r="F79" s="54"/>
      <c r="G79" s="54"/>
      <c r="H79" s="54"/>
    </row>
    <row r="80" spans="1:20" x14ac:dyDescent="0.3">
      <c r="A80" s="276"/>
      <c r="B80" s="54"/>
      <c r="C80" s="181"/>
      <c r="E80" s="54"/>
      <c r="F80" s="54"/>
      <c r="G80" s="54"/>
      <c r="H80" s="54"/>
    </row>
    <row r="81" spans="1:8" x14ac:dyDescent="0.3">
      <c r="A81" s="276"/>
      <c r="B81" s="54"/>
      <c r="C81" s="181"/>
      <c r="E81" s="54"/>
      <c r="F81" s="54"/>
      <c r="G81" s="54"/>
      <c r="H81" s="54"/>
    </row>
    <row r="82" spans="1:8" x14ac:dyDescent="0.3">
      <c r="A82" s="276"/>
      <c r="B82" s="54"/>
      <c r="C82" s="181"/>
      <c r="E82" s="54"/>
      <c r="F82" s="54"/>
      <c r="G82" s="54"/>
      <c r="H82" s="54"/>
    </row>
    <row r="83" spans="1:8" x14ac:dyDescent="0.3">
      <c r="A83" s="276"/>
      <c r="B83" s="54"/>
      <c r="C83" s="181"/>
      <c r="E83" s="54"/>
      <c r="F83" s="54"/>
      <c r="G83" s="17"/>
    </row>
    <row r="84" spans="1:8" x14ac:dyDescent="0.3">
      <c r="A84" s="276"/>
      <c r="B84" s="54"/>
      <c r="C84" s="181"/>
      <c r="E84" s="54"/>
      <c r="F84" s="54"/>
      <c r="G84" s="54"/>
    </row>
    <row r="85" spans="1:8" x14ac:dyDescent="0.3">
      <c r="A85" s="274"/>
      <c r="B85" s="54"/>
      <c r="C85" s="181"/>
      <c r="E85" s="54"/>
      <c r="F85" s="70"/>
      <c r="G85" s="54"/>
    </row>
    <row r="86" spans="1:8" x14ac:dyDescent="0.3">
      <c r="A86" s="274"/>
      <c r="B86" s="54"/>
      <c r="C86" s="54"/>
      <c r="E86" s="54"/>
      <c r="F86" s="54"/>
      <c r="G86" s="54"/>
    </row>
    <row r="87" spans="1:8" x14ac:dyDescent="0.3">
      <c r="A87" s="276"/>
      <c r="B87" s="70" t="s">
        <v>171</v>
      </c>
      <c r="C87" s="54"/>
      <c r="E87" s="54"/>
      <c r="F87" s="54"/>
      <c r="G87" s="54"/>
    </row>
    <row r="88" spans="1:8" x14ac:dyDescent="0.3">
      <c r="A88" s="276"/>
      <c r="B88" s="54"/>
      <c r="C88" s="54"/>
      <c r="E88" s="54"/>
      <c r="F88" s="54"/>
      <c r="G88" s="54"/>
    </row>
    <row r="89" spans="1:8" hidden="1" x14ac:dyDescent="0.3">
      <c r="A89" s="274" t="s">
        <v>173</v>
      </c>
      <c r="B89" s="54"/>
      <c r="C89" s="54"/>
      <c r="E89" s="54"/>
      <c r="F89" s="54"/>
      <c r="G89" s="54"/>
    </row>
    <row r="90" spans="1:8" hidden="1" x14ac:dyDescent="0.3">
      <c r="A90" s="274" t="s">
        <v>174</v>
      </c>
      <c r="B90" s="54"/>
      <c r="C90" s="54"/>
      <c r="E90" s="54"/>
      <c r="F90" s="54"/>
      <c r="G90" s="54"/>
    </row>
    <row r="91" spans="1:8" hidden="1" x14ac:dyDescent="0.3">
      <c r="A91" s="274" t="s">
        <v>175</v>
      </c>
      <c r="B91" s="54"/>
      <c r="C91" s="54"/>
      <c r="E91" s="54"/>
      <c r="F91" s="54"/>
      <c r="G91" s="54"/>
    </row>
    <row r="92" spans="1:8" hidden="1" x14ac:dyDescent="0.3">
      <c r="A92" s="274" t="s">
        <v>176</v>
      </c>
      <c r="B92" s="54"/>
      <c r="C92" s="54"/>
      <c r="E92" s="54"/>
      <c r="F92" s="54"/>
      <c r="G92" s="54"/>
    </row>
    <row r="93" spans="1:8" hidden="1" x14ac:dyDescent="0.3">
      <c r="A93" s="274" t="s">
        <v>177</v>
      </c>
      <c r="B93" s="54"/>
      <c r="C93" s="54"/>
      <c r="E93" s="54"/>
      <c r="F93" s="54"/>
      <c r="G93" s="54"/>
    </row>
    <row r="94" spans="1:8" ht="28.8" hidden="1" x14ac:dyDescent="0.3">
      <c r="A94" s="274" t="s">
        <v>178</v>
      </c>
      <c r="B94" s="54"/>
      <c r="C94" s="54"/>
      <c r="E94" s="54"/>
      <c r="F94" s="54"/>
      <c r="G94" s="54"/>
    </row>
    <row r="95" spans="1:8" hidden="1" x14ac:dyDescent="0.3">
      <c r="A95" s="276" t="s">
        <v>179</v>
      </c>
      <c r="B95" s="54"/>
      <c r="C95" s="54"/>
      <c r="E95" s="54"/>
      <c r="F95" s="54"/>
      <c r="G95" s="54"/>
    </row>
    <row r="96" spans="1:8" hidden="1" x14ac:dyDescent="0.3">
      <c r="A96" s="276" t="s">
        <v>180</v>
      </c>
      <c r="B96" s="54"/>
      <c r="C96" s="54"/>
      <c r="E96" s="54"/>
      <c r="F96" s="54"/>
      <c r="G96" s="54"/>
    </row>
    <row r="97" spans="1:7" hidden="1" x14ac:dyDescent="0.3">
      <c r="A97" s="276" t="s">
        <v>181</v>
      </c>
      <c r="B97" s="54"/>
      <c r="C97" s="54"/>
      <c r="E97" s="54"/>
      <c r="F97" s="54"/>
      <c r="G97" s="54"/>
    </row>
    <row r="98" spans="1:7" hidden="1" x14ac:dyDescent="0.3">
      <c r="A98" s="276" t="s">
        <v>182</v>
      </c>
      <c r="B98" s="54"/>
      <c r="C98" s="54"/>
      <c r="E98" s="54"/>
      <c r="F98" s="54"/>
      <c r="G98" s="54"/>
    </row>
    <row r="99" spans="1:7" hidden="1" x14ac:dyDescent="0.3">
      <c r="A99" s="276" t="s">
        <v>183</v>
      </c>
      <c r="B99" s="54"/>
      <c r="C99" s="54"/>
      <c r="E99" s="54"/>
      <c r="F99" s="54"/>
      <c r="G99" s="54"/>
    </row>
    <row r="100" spans="1:7" hidden="1" x14ac:dyDescent="0.3">
      <c r="A100" s="276" t="s">
        <v>184</v>
      </c>
      <c r="C100" s="54"/>
      <c r="E100" s="54"/>
      <c r="F100" s="54"/>
      <c r="G100" s="54"/>
    </row>
    <row r="101" spans="1:7" ht="15.6" hidden="1" x14ac:dyDescent="0.3">
      <c r="A101" s="273" t="s">
        <v>198</v>
      </c>
      <c r="B101" s="278" t="e">
        <f>#REF!</f>
        <v>#REF!</v>
      </c>
      <c r="C101" s="54"/>
      <c r="E101" s="54"/>
      <c r="F101" s="54"/>
      <c r="G101" s="17"/>
    </row>
    <row r="102" spans="1:7" hidden="1" x14ac:dyDescent="0.3">
      <c r="A102" s="273" t="s">
        <v>197</v>
      </c>
      <c r="B102" s="54"/>
      <c r="C102" s="54"/>
      <c r="E102" s="54"/>
      <c r="F102" s="54"/>
      <c r="G102" s="17"/>
    </row>
    <row r="103" spans="1:7" ht="43.2" hidden="1" x14ac:dyDescent="0.3">
      <c r="A103" s="274" t="s">
        <v>185</v>
      </c>
      <c r="B103" s="54"/>
      <c r="C103" s="54"/>
      <c r="E103" s="54"/>
      <c r="F103" s="54"/>
      <c r="G103" s="17"/>
    </row>
    <row r="104" spans="1:7" hidden="1" x14ac:dyDescent="0.3">
      <c r="A104" s="276" t="s">
        <v>186</v>
      </c>
      <c r="B104" s="54"/>
      <c r="C104" s="54"/>
      <c r="E104" s="54"/>
      <c r="F104" s="54"/>
      <c r="G104" s="17"/>
    </row>
    <row r="105" spans="1:7" hidden="1" x14ac:dyDescent="0.3">
      <c r="A105" s="276" t="s">
        <v>187</v>
      </c>
      <c r="B105" s="54"/>
      <c r="C105" s="54"/>
      <c r="E105" s="54"/>
      <c r="F105" s="54"/>
      <c r="G105" s="17"/>
    </row>
    <row r="106" spans="1:7" hidden="1" x14ac:dyDescent="0.3">
      <c r="A106" s="276" t="s">
        <v>188</v>
      </c>
      <c r="B106" s="54"/>
      <c r="C106" s="54"/>
      <c r="E106" s="54"/>
      <c r="F106" s="54"/>
      <c r="G106" s="17"/>
    </row>
    <row r="107" spans="1:7" hidden="1" x14ac:dyDescent="0.3">
      <c r="A107" s="276" t="s">
        <v>189</v>
      </c>
      <c r="B107" s="54"/>
      <c r="C107" s="54"/>
      <c r="E107" s="54"/>
      <c r="F107" s="54"/>
      <c r="G107" s="17"/>
    </row>
    <row r="108" spans="1:7" hidden="1" x14ac:dyDescent="0.3">
      <c r="A108" s="276" t="s">
        <v>190</v>
      </c>
      <c r="B108" s="54"/>
      <c r="C108" s="54"/>
      <c r="E108" s="54"/>
      <c r="F108" s="54"/>
      <c r="G108" s="17"/>
    </row>
    <row r="109" spans="1:7" hidden="1" x14ac:dyDescent="0.3">
      <c r="A109" s="276" t="s">
        <v>191</v>
      </c>
      <c r="B109" s="54"/>
      <c r="C109" s="54"/>
      <c r="E109" s="54"/>
      <c r="F109" s="54"/>
      <c r="G109" s="17"/>
    </row>
    <row r="110" spans="1:7" hidden="1" x14ac:dyDescent="0.3">
      <c r="A110" s="276" t="s">
        <v>192</v>
      </c>
      <c r="B110" s="54"/>
      <c r="C110" s="54"/>
      <c r="E110" s="54"/>
      <c r="F110" s="54"/>
      <c r="G110" s="17"/>
    </row>
    <row r="111" spans="1:7" hidden="1" x14ac:dyDescent="0.3">
      <c r="A111" s="276" t="s">
        <v>193</v>
      </c>
      <c r="B111" s="54"/>
      <c r="C111" s="54"/>
      <c r="E111" s="54"/>
      <c r="F111" s="54"/>
      <c r="G111" s="17"/>
    </row>
    <row r="112" spans="1:7" hidden="1" x14ac:dyDescent="0.3">
      <c r="A112" s="276" t="s">
        <v>194</v>
      </c>
      <c r="B112" s="54"/>
      <c r="C112" s="54"/>
      <c r="E112" s="54"/>
      <c r="F112" s="54"/>
      <c r="G112" s="17"/>
    </row>
    <row r="113" spans="1:14" hidden="1" x14ac:dyDescent="0.3">
      <c r="A113" s="276" t="s">
        <v>195</v>
      </c>
      <c r="B113" s="54"/>
      <c r="C113" s="54"/>
      <c r="E113" s="54"/>
      <c r="F113" s="54"/>
      <c r="G113" s="17"/>
    </row>
    <row r="114" spans="1:14" x14ac:dyDescent="0.3">
      <c r="A114" s="276"/>
      <c r="B114" s="54"/>
      <c r="C114" s="54"/>
      <c r="E114" s="54"/>
      <c r="F114" s="54"/>
      <c r="G114" s="17"/>
      <c r="N114" s="299"/>
    </row>
    <row r="115" spans="1:14" x14ac:dyDescent="0.3">
      <c r="A115" s="276"/>
      <c r="B115" s="54"/>
      <c r="C115" s="54"/>
      <c r="E115" s="54"/>
      <c r="F115" s="54"/>
      <c r="G115" s="17"/>
    </row>
    <row r="116" spans="1:14" x14ac:dyDescent="0.3">
      <c r="A116" s="276"/>
      <c r="B116" s="54"/>
      <c r="C116" s="54"/>
      <c r="E116" s="54"/>
      <c r="F116" s="54"/>
      <c r="G116" s="17"/>
    </row>
    <row r="117" spans="1:14" x14ac:dyDescent="0.3">
      <c r="F117" s="17"/>
      <c r="G117" s="17"/>
    </row>
    <row r="118" spans="1:14" x14ac:dyDescent="0.3">
      <c r="F118" s="17"/>
      <c r="G118" s="17"/>
    </row>
    <row r="119" spans="1:14" x14ac:dyDescent="0.3">
      <c r="F119" s="17"/>
      <c r="G119" s="17"/>
    </row>
    <row r="120" spans="1:14" x14ac:dyDescent="0.3">
      <c r="F120" s="17"/>
      <c r="G120" s="17"/>
    </row>
    <row r="121" spans="1:14" x14ac:dyDescent="0.3">
      <c r="F121" s="17"/>
      <c r="G121" s="17"/>
    </row>
    <row r="122" spans="1:14" x14ac:dyDescent="0.3">
      <c r="F122" s="17"/>
      <c r="G122" s="17"/>
    </row>
    <row r="123" spans="1:14" x14ac:dyDescent="0.3">
      <c r="F123" s="17"/>
      <c r="G123" s="17"/>
    </row>
    <row r="124" spans="1:14" x14ac:dyDescent="0.3">
      <c r="F124" s="17"/>
      <c r="G124" s="17"/>
    </row>
    <row r="125" spans="1:14" x14ac:dyDescent="0.3">
      <c r="F125" s="17"/>
      <c r="G125" s="17"/>
    </row>
    <row r="126" spans="1:14" x14ac:dyDescent="0.3">
      <c r="F126" s="17"/>
      <c r="G126" s="17"/>
    </row>
    <row r="127" spans="1:14" x14ac:dyDescent="0.3">
      <c r="F127" s="17"/>
      <c r="G127" s="17"/>
    </row>
    <row r="128" spans="1:14" x14ac:dyDescent="0.3">
      <c r="F128" s="17"/>
      <c r="G128" s="17"/>
    </row>
    <row r="129" s="17" customFormat="1" x14ac:dyDescent="0.3"/>
    <row r="130" s="17" customFormat="1" x14ac:dyDescent="0.3"/>
    <row r="131" s="17" customFormat="1" x14ac:dyDescent="0.3"/>
    <row r="132" s="17" customFormat="1" x14ac:dyDescent="0.3"/>
    <row r="133" s="17" customFormat="1" x14ac:dyDescent="0.3"/>
    <row r="134" s="17" customFormat="1" x14ac:dyDescent="0.3"/>
    <row r="135" s="17" customFormat="1" x14ac:dyDescent="0.3"/>
    <row r="136" s="17" customFormat="1" x14ac:dyDescent="0.3"/>
    <row r="137" s="17" customFormat="1" x14ac:dyDescent="0.3"/>
    <row r="138" s="17" customFormat="1" x14ac:dyDescent="0.3"/>
    <row r="139" s="17" customFormat="1" x14ac:dyDescent="0.3"/>
    <row r="140" s="17" customFormat="1" x14ac:dyDescent="0.3"/>
    <row r="141" s="17" customFormat="1" x14ac:dyDescent="0.3"/>
    <row r="142" s="17" customFormat="1" x14ac:dyDescent="0.3"/>
    <row r="143" s="17" customFormat="1" x14ac:dyDescent="0.3"/>
    <row r="144" s="17" customFormat="1" x14ac:dyDescent="0.3"/>
    <row r="145" s="17" customFormat="1" x14ac:dyDescent="0.3"/>
    <row r="146" s="17" customFormat="1" x14ac:dyDescent="0.3"/>
    <row r="147" s="17" customFormat="1" x14ac:dyDescent="0.3"/>
    <row r="148" s="17" customFormat="1" x14ac:dyDescent="0.3"/>
    <row r="149" s="17" customFormat="1" x14ac:dyDescent="0.3"/>
    <row r="150" s="17" customFormat="1" x14ac:dyDescent="0.3"/>
    <row r="151" s="17" customFormat="1" x14ac:dyDescent="0.3"/>
    <row r="152" s="17" customFormat="1" x14ac:dyDescent="0.3"/>
    <row r="153" s="17" customFormat="1" x14ac:dyDescent="0.3"/>
    <row r="154" s="17" customFormat="1" x14ac:dyDescent="0.3"/>
    <row r="155" s="17" customFormat="1" x14ac:dyDescent="0.3"/>
    <row r="156" s="17" customFormat="1" x14ac:dyDescent="0.3"/>
    <row r="157" s="17" customFormat="1" x14ac:dyDescent="0.3"/>
    <row r="158" s="17" customFormat="1" x14ac:dyDescent="0.3"/>
    <row r="159" s="17" customFormat="1" x14ac:dyDescent="0.3"/>
    <row r="160" s="17" customFormat="1" x14ac:dyDescent="0.3"/>
    <row r="161" s="17" customFormat="1" x14ac:dyDescent="0.3"/>
    <row r="162" s="17" customFormat="1" x14ac:dyDescent="0.3"/>
    <row r="163" s="17" customFormat="1" x14ac:dyDescent="0.3"/>
    <row r="164" s="17" customFormat="1" x14ac:dyDescent="0.3"/>
    <row r="165" s="17" customFormat="1" x14ac:dyDescent="0.3"/>
    <row r="166" s="17" customFormat="1" x14ac:dyDescent="0.3"/>
    <row r="167" s="17" customFormat="1" x14ac:dyDescent="0.3"/>
    <row r="168" s="17" customFormat="1" x14ac:dyDescent="0.3"/>
    <row r="169" s="17" customFormat="1" x14ac:dyDescent="0.3"/>
    <row r="170" s="17" customFormat="1" x14ac:dyDescent="0.3"/>
    <row r="171" s="17" customFormat="1" x14ac:dyDescent="0.3"/>
    <row r="172" s="17" customFormat="1" x14ac:dyDescent="0.3"/>
    <row r="173" s="17" customFormat="1" x14ac:dyDescent="0.3"/>
    <row r="174" s="17" customFormat="1" x14ac:dyDescent="0.3"/>
    <row r="175" s="17" customFormat="1" x14ac:dyDescent="0.3"/>
    <row r="176" s="17" customFormat="1" x14ac:dyDescent="0.3"/>
    <row r="177" s="17" customFormat="1" x14ac:dyDescent="0.3"/>
    <row r="178" s="17" customFormat="1" x14ac:dyDescent="0.3"/>
    <row r="179" s="17" customFormat="1" x14ac:dyDescent="0.3"/>
    <row r="180" s="17" customFormat="1" x14ac:dyDescent="0.3"/>
    <row r="181" s="17" customFormat="1" x14ac:dyDescent="0.3"/>
    <row r="182" s="17" customFormat="1" x14ac:dyDescent="0.3"/>
    <row r="183" s="17" customFormat="1" x14ac:dyDescent="0.3"/>
    <row r="184" s="17" customFormat="1" x14ac:dyDescent="0.3"/>
    <row r="185" s="17" customFormat="1" x14ac:dyDescent="0.3"/>
    <row r="186" s="17" customFormat="1" x14ac:dyDescent="0.3"/>
    <row r="187" s="17" customFormat="1" x14ac:dyDescent="0.3"/>
    <row r="188" s="17" customFormat="1" x14ac:dyDescent="0.3"/>
    <row r="189" s="17" customFormat="1" x14ac:dyDescent="0.3"/>
    <row r="190" s="17" customFormat="1" x14ac:dyDescent="0.3"/>
    <row r="191" s="17" customFormat="1" x14ac:dyDescent="0.3"/>
    <row r="192" s="17" customFormat="1" x14ac:dyDescent="0.3"/>
    <row r="193" s="17" customFormat="1" x14ac:dyDescent="0.3"/>
    <row r="194" s="17" customFormat="1" x14ac:dyDescent="0.3"/>
    <row r="195" s="17" customFormat="1" x14ac:dyDescent="0.3"/>
    <row r="196" s="17" customFormat="1" x14ac:dyDescent="0.3"/>
    <row r="197" s="17" customFormat="1" x14ac:dyDescent="0.3"/>
    <row r="198" s="17" customFormat="1" x14ac:dyDescent="0.3"/>
    <row r="199" s="17" customFormat="1" x14ac:dyDescent="0.3"/>
    <row r="200" s="17" customFormat="1" x14ac:dyDescent="0.3"/>
    <row r="201" s="17" customFormat="1" x14ac:dyDescent="0.3"/>
    <row r="202" s="17" customFormat="1" x14ac:dyDescent="0.3"/>
    <row r="203" s="17" customFormat="1" x14ac:dyDescent="0.3"/>
    <row r="204" s="17" customFormat="1" x14ac:dyDescent="0.3"/>
    <row r="205" s="17" customFormat="1" x14ac:dyDescent="0.3"/>
    <row r="206" s="17" customFormat="1" x14ac:dyDescent="0.3"/>
    <row r="207" s="17" customFormat="1" x14ac:dyDescent="0.3"/>
    <row r="208" s="17" customFormat="1" x14ac:dyDescent="0.3"/>
    <row r="209" s="17" customFormat="1" x14ac:dyDescent="0.3"/>
    <row r="210" s="17" customFormat="1" x14ac:dyDescent="0.3"/>
    <row r="211" s="17" customFormat="1" x14ac:dyDescent="0.3"/>
    <row r="212" s="17" customFormat="1" x14ac:dyDescent="0.3"/>
    <row r="213" s="17" customFormat="1" x14ac:dyDescent="0.3"/>
    <row r="214" s="17" customFormat="1" x14ac:dyDescent="0.3"/>
    <row r="215" s="17" customFormat="1" x14ac:dyDescent="0.3"/>
    <row r="216" s="17" customFormat="1" x14ac:dyDescent="0.3"/>
    <row r="217" s="17" customFormat="1" x14ac:dyDescent="0.3"/>
    <row r="218" s="17" customFormat="1" x14ac:dyDescent="0.3"/>
    <row r="219" s="17" customFormat="1" x14ac:dyDescent="0.3"/>
    <row r="220" s="17" customFormat="1" x14ac:dyDescent="0.3"/>
    <row r="221" s="17" customFormat="1" x14ac:dyDescent="0.3"/>
    <row r="222" s="17" customFormat="1" x14ac:dyDescent="0.3"/>
    <row r="223" s="17" customFormat="1" x14ac:dyDescent="0.3"/>
    <row r="224" s="17" customFormat="1" x14ac:dyDescent="0.3"/>
    <row r="225" s="17" customFormat="1" x14ac:dyDescent="0.3"/>
    <row r="226" s="17" customFormat="1" x14ac:dyDescent="0.3"/>
    <row r="227" s="17" customFormat="1" x14ac:dyDescent="0.3"/>
    <row r="228" s="17" customFormat="1" x14ac:dyDescent="0.3"/>
    <row r="229" s="17" customFormat="1" x14ac:dyDescent="0.3"/>
    <row r="230" s="17" customFormat="1" x14ac:dyDescent="0.3"/>
    <row r="231" s="17" customFormat="1" x14ac:dyDescent="0.3"/>
    <row r="232" s="17" customFormat="1" x14ac:dyDescent="0.3"/>
    <row r="233" s="17" customFormat="1" x14ac:dyDescent="0.3"/>
    <row r="234" s="17" customFormat="1" x14ac:dyDescent="0.3"/>
    <row r="235" s="17" customFormat="1" x14ac:dyDescent="0.3"/>
    <row r="236" s="17" customFormat="1" x14ac:dyDescent="0.3"/>
    <row r="237" s="17" customFormat="1" x14ac:dyDescent="0.3"/>
    <row r="238" s="17" customFormat="1" x14ac:dyDescent="0.3"/>
    <row r="239" s="17" customFormat="1" x14ac:dyDescent="0.3"/>
    <row r="240" s="17" customFormat="1" x14ac:dyDescent="0.3"/>
    <row r="241" s="17" customFormat="1" x14ac:dyDescent="0.3"/>
    <row r="242" s="17" customFormat="1" x14ac:dyDescent="0.3"/>
    <row r="243" s="17" customFormat="1" x14ac:dyDescent="0.3"/>
    <row r="244" s="17" customFormat="1" x14ac:dyDescent="0.3"/>
    <row r="245" s="17" customFormat="1" x14ac:dyDescent="0.3"/>
    <row r="246" s="17" customFormat="1" x14ac:dyDescent="0.3"/>
    <row r="247" s="17" customFormat="1" x14ac:dyDescent="0.3"/>
    <row r="248" s="17" customFormat="1" x14ac:dyDescent="0.3"/>
    <row r="249" s="17" customFormat="1" x14ac:dyDescent="0.3"/>
    <row r="250" s="17" customFormat="1" x14ac:dyDescent="0.3"/>
    <row r="251" s="17" customFormat="1" x14ac:dyDescent="0.3"/>
    <row r="252" s="17" customFormat="1" x14ac:dyDescent="0.3"/>
    <row r="253" s="17" customFormat="1" x14ac:dyDescent="0.3"/>
    <row r="254" s="17" customFormat="1" x14ac:dyDescent="0.3"/>
    <row r="255" s="17" customFormat="1" x14ac:dyDescent="0.3"/>
    <row r="256" s="17" customFormat="1" x14ac:dyDescent="0.3"/>
    <row r="257" s="17" customFormat="1" x14ac:dyDescent="0.3"/>
    <row r="258" s="17" customFormat="1" x14ac:dyDescent="0.3"/>
    <row r="259" s="17" customFormat="1" x14ac:dyDescent="0.3"/>
    <row r="260" s="17" customFormat="1" x14ac:dyDescent="0.3"/>
    <row r="261" s="17" customFormat="1" x14ac:dyDescent="0.3"/>
    <row r="262" s="17" customFormat="1" x14ac:dyDescent="0.3"/>
    <row r="263" s="17" customFormat="1" x14ac:dyDescent="0.3"/>
    <row r="264" s="17" customFormat="1" x14ac:dyDescent="0.3"/>
    <row r="265" s="17" customFormat="1" x14ac:dyDescent="0.3"/>
    <row r="266" s="17" customFormat="1" x14ac:dyDescent="0.3"/>
    <row r="267" s="17" customFormat="1" x14ac:dyDescent="0.3"/>
    <row r="268" s="17" customFormat="1" x14ac:dyDescent="0.3"/>
    <row r="269" s="17" customFormat="1" x14ac:dyDescent="0.3"/>
    <row r="270" s="17" customFormat="1" x14ac:dyDescent="0.3"/>
    <row r="271" s="17" customFormat="1" x14ac:dyDescent="0.3"/>
    <row r="272" s="17" customFormat="1" x14ac:dyDescent="0.3"/>
    <row r="273" s="17" customFormat="1" x14ac:dyDescent="0.3"/>
    <row r="274" s="17" customFormat="1" x14ac:dyDescent="0.3"/>
    <row r="275" s="17" customFormat="1" x14ac:dyDescent="0.3"/>
    <row r="276" s="17" customFormat="1" x14ac:dyDescent="0.3"/>
    <row r="277" s="17" customFormat="1" x14ac:dyDescent="0.3"/>
    <row r="278" s="17" customFormat="1" x14ac:dyDescent="0.3"/>
    <row r="279" s="17" customFormat="1" x14ac:dyDescent="0.3"/>
    <row r="280" s="17" customFormat="1" x14ac:dyDescent="0.3"/>
    <row r="281" s="17" customFormat="1" x14ac:dyDescent="0.3"/>
    <row r="282" s="17" customFormat="1" x14ac:dyDescent="0.3"/>
    <row r="283" s="17" customFormat="1" x14ac:dyDescent="0.3"/>
    <row r="284" s="17" customFormat="1" x14ac:dyDescent="0.3"/>
    <row r="285" s="17" customFormat="1" x14ac:dyDescent="0.3"/>
    <row r="286" s="17" customFormat="1" x14ac:dyDescent="0.3"/>
    <row r="287" s="17" customFormat="1" x14ac:dyDescent="0.3"/>
    <row r="288" s="17" customFormat="1" x14ac:dyDescent="0.3"/>
    <row r="289" s="17" customFormat="1" x14ac:dyDescent="0.3"/>
    <row r="290" s="17" customFormat="1" x14ac:dyDescent="0.3"/>
    <row r="291" s="17" customFormat="1" x14ac:dyDescent="0.3"/>
    <row r="292" s="17" customFormat="1" x14ac:dyDescent="0.3"/>
    <row r="293" s="17" customFormat="1" x14ac:dyDescent="0.3"/>
    <row r="294" s="17" customFormat="1" x14ac:dyDescent="0.3"/>
    <row r="295" s="17" customFormat="1" x14ac:dyDescent="0.3"/>
    <row r="296" s="17" customFormat="1" x14ac:dyDescent="0.3"/>
    <row r="297" s="17" customFormat="1" x14ac:dyDescent="0.3"/>
    <row r="298" s="17" customFormat="1" x14ac:dyDescent="0.3"/>
    <row r="299" s="17" customFormat="1" x14ac:dyDescent="0.3"/>
    <row r="300" s="17" customFormat="1" x14ac:dyDescent="0.3"/>
    <row r="301" s="17" customFormat="1" x14ac:dyDescent="0.3"/>
    <row r="302" s="17" customFormat="1" x14ac:dyDescent="0.3"/>
    <row r="303" s="17" customFormat="1" x14ac:dyDescent="0.3"/>
    <row r="304" s="17" customFormat="1" x14ac:dyDescent="0.3"/>
    <row r="305" s="17" customFormat="1" x14ac:dyDescent="0.3"/>
    <row r="306" s="17" customFormat="1" x14ac:dyDescent="0.3"/>
    <row r="307" s="17" customFormat="1" x14ac:dyDescent="0.3"/>
    <row r="308" s="17" customFormat="1" x14ac:dyDescent="0.3"/>
    <row r="309" s="17" customFormat="1" x14ac:dyDescent="0.3"/>
    <row r="310" s="17" customFormat="1" x14ac:dyDescent="0.3"/>
    <row r="311" s="17" customFormat="1" x14ac:dyDescent="0.3"/>
    <row r="312" s="17" customFormat="1" x14ac:dyDescent="0.3"/>
    <row r="313" s="17" customFormat="1" x14ac:dyDescent="0.3"/>
    <row r="314" s="17" customFormat="1" x14ac:dyDescent="0.3"/>
    <row r="315" s="17" customFormat="1" x14ac:dyDescent="0.3"/>
    <row r="316" s="17" customFormat="1" x14ac:dyDescent="0.3"/>
    <row r="317" s="17" customFormat="1" x14ac:dyDescent="0.3"/>
    <row r="318" s="17" customFormat="1" x14ac:dyDescent="0.3"/>
    <row r="319" s="17" customFormat="1" x14ac:dyDescent="0.3"/>
    <row r="320" s="17" customFormat="1" x14ac:dyDescent="0.3"/>
    <row r="321" s="17" customFormat="1" x14ac:dyDescent="0.3"/>
    <row r="322" s="17" customFormat="1" x14ac:dyDescent="0.3"/>
    <row r="323" s="17" customFormat="1" x14ac:dyDescent="0.3"/>
    <row r="324" s="17" customFormat="1" x14ac:dyDescent="0.3"/>
    <row r="325" s="17" customFormat="1" x14ac:dyDescent="0.3"/>
    <row r="326" s="17" customFormat="1" x14ac:dyDescent="0.3"/>
    <row r="327" s="17" customFormat="1" x14ac:dyDescent="0.3"/>
    <row r="328" s="17" customFormat="1" x14ac:dyDescent="0.3"/>
    <row r="329" s="17" customFormat="1" x14ac:dyDescent="0.3"/>
    <row r="330" s="17" customFormat="1" x14ac:dyDescent="0.3"/>
    <row r="331" s="17" customFormat="1" x14ac:dyDescent="0.3"/>
    <row r="332" s="17" customFormat="1" x14ac:dyDescent="0.3"/>
    <row r="333" s="17" customFormat="1" x14ac:dyDescent="0.3"/>
    <row r="334" s="17" customFormat="1" x14ac:dyDescent="0.3"/>
    <row r="335" s="17" customFormat="1" x14ac:dyDescent="0.3"/>
    <row r="336" s="17" customFormat="1" x14ac:dyDescent="0.3"/>
    <row r="337" s="17" customFormat="1" x14ac:dyDescent="0.3"/>
    <row r="338" s="17" customFormat="1" x14ac:dyDescent="0.3"/>
    <row r="339" s="17" customFormat="1" x14ac:dyDescent="0.3"/>
    <row r="340" s="17" customFormat="1" x14ac:dyDescent="0.3"/>
    <row r="341" s="17" customFormat="1" x14ac:dyDescent="0.3"/>
    <row r="342" s="17" customFormat="1" x14ac:dyDescent="0.3"/>
    <row r="343" s="17" customFormat="1" x14ac:dyDescent="0.3"/>
    <row r="344" s="17" customFormat="1" x14ac:dyDescent="0.3"/>
    <row r="345" s="17" customFormat="1" x14ac:dyDescent="0.3"/>
    <row r="346" s="17" customFormat="1" x14ac:dyDescent="0.3"/>
    <row r="347" s="17" customFormat="1" x14ac:dyDescent="0.3"/>
    <row r="348" s="17" customFormat="1" x14ac:dyDescent="0.3"/>
    <row r="349" s="17" customFormat="1" x14ac:dyDescent="0.3"/>
    <row r="350" s="17" customFormat="1" x14ac:dyDescent="0.3"/>
    <row r="351" s="17" customFormat="1" x14ac:dyDescent="0.3"/>
    <row r="352" s="17" customFormat="1" x14ac:dyDescent="0.3"/>
    <row r="353" s="17" customFormat="1" x14ac:dyDescent="0.3"/>
    <row r="354" s="17" customFormat="1" x14ac:dyDescent="0.3"/>
    <row r="355" s="17" customFormat="1" x14ac:dyDescent="0.3"/>
    <row r="356" s="17" customFormat="1" x14ac:dyDescent="0.3"/>
    <row r="357" s="17" customFormat="1" x14ac:dyDescent="0.3"/>
    <row r="358" s="17" customFormat="1" x14ac:dyDescent="0.3"/>
    <row r="359" s="17" customFormat="1" x14ac:dyDescent="0.3"/>
    <row r="360" s="17" customFormat="1" x14ac:dyDescent="0.3"/>
    <row r="361" s="17" customFormat="1" x14ac:dyDescent="0.3"/>
    <row r="362" s="17" customFormat="1" x14ac:dyDescent="0.3"/>
    <row r="363" s="17" customFormat="1" x14ac:dyDescent="0.3"/>
    <row r="364" s="17" customFormat="1" x14ac:dyDescent="0.3"/>
    <row r="365" s="17" customFormat="1" x14ac:dyDescent="0.3"/>
    <row r="366" s="17" customFormat="1" x14ac:dyDescent="0.3"/>
    <row r="367" s="17" customFormat="1" x14ac:dyDescent="0.3"/>
    <row r="368" s="17" customFormat="1" x14ac:dyDescent="0.3"/>
    <row r="369" s="17" customFormat="1" x14ac:dyDescent="0.3"/>
    <row r="370" s="17" customFormat="1" x14ac:dyDescent="0.3"/>
    <row r="371" s="17" customFormat="1" x14ac:dyDescent="0.3"/>
    <row r="372" s="17" customFormat="1" x14ac:dyDescent="0.3"/>
    <row r="373" s="17" customFormat="1" x14ac:dyDescent="0.3"/>
    <row r="374" s="17" customFormat="1" x14ac:dyDescent="0.3"/>
    <row r="375" s="17" customFormat="1" x14ac:dyDescent="0.3"/>
    <row r="376" s="17" customFormat="1" x14ac:dyDescent="0.3"/>
    <row r="377" s="17" customFormat="1" x14ac:dyDescent="0.3"/>
    <row r="378" s="17" customFormat="1" x14ac:dyDescent="0.3"/>
    <row r="379" s="17" customFormat="1" x14ac:dyDescent="0.3"/>
    <row r="380" s="17" customFormat="1" x14ac:dyDescent="0.3"/>
    <row r="381" s="17" customFormat="1" x14ac:dyDescent="0.3"/>
    <row r="382" s="17" customFormat="1" x14ac:dyDescent="0.3"/>
    <row r="383" s="17" customFormat="1" x14ac:dyDescent="0.3"/>
    <row r="384" s="17" customFormat="1" x14ac:dyDescent="0.3"/>
    <row r="385" s="17" customFormat="1" x14ac:dyDescent="0.3"/>
    <row r="386" s="17" customFormat="1" x14ac:dyDescent="0.3"/>
    <row r="387" s="17" customFormat="1" x14ac:dyDescent="0.3"/>
    <row r="388" s="17" customFormat="1" x14ac:dyDescent="0.3"/>
    <row r="389" s="17" customFormat="1" x14ac:dyDescent="0.3"/>
    <row r="390" s="17" customFormat="1" x14ac:dyDescent="0.3"/>
    <row r="391" s="17" customFormat="1" x14ac:dyDescent="0.3"/>
    <row r="392" s="17" customFormat="1" x14ac:dyDescent="0.3"/>
    <row r="393" s="17" customFormat="1" x14ac:dyDescent="0.3"/>
    <row r="394" s="17" customFormat="1" x14ac:dyDescent="0.3"/>
    <row r="395" s="17" customFormat="1" x14ac:dyDescent="0.3"/>
    <row r="396" s="17" customFormat="1" x14ac:dyDescent="0.3"/>
    <row r="397" s="17" customFormat="1" x14ac:dyDescent="0.3"/>
    <row r="398" s="17" customFormat="1" x14ac:dyDescent="0.3"/>
    <row r="399" s="17" customFormat="1" x14ac:dyDescent="0.3"/>
    <row r="400" s="17" customFormat="1" x14ac:dyDescent="0.3"/>
    <row r="401" s="17" customFormat="1" x14ac:dyDescent="0.3"/>
    <row r="402" s="17" customFormat="1" x14ac:dyDescent="0.3"/>
    <row r="403" s="17" customFormat="1" x14ac:dyDescent="0.3"/>
    <row r="404" s="17" customFormat="1" x14ac:dyDescent="0.3"/>
    <row r="405" s="17" customFormat="1" x14ac:dyDescent="0.3"/>
    <row r="406" s="17" customFormat="1" x14ac:dyDescent="0.3"/>
    <row r="407" s="17" customFormat="1" x14ac:dyDescent="0.3"/>
    <row r="408" s="17" customFormat="1" x14ac:dyDescent="0.3"/>
    <row r="409" s="17" customFormat="1" x14ac:dyDescent="0.3"/>
    <row r="410" s="17" customFormat="1" x14ac:dyDescent="0.3"/>
    <row r="411" s="17" customFormat="1" x14ac:dyDescent="0.3"/>
    <row r="412" s="17" customFormat="1" x14ac:dyDescent="0.3"/>
    <row r="413" s="17" customFormat="1" x14ac:dyDescent="0.3"/>
    <row r="414" s="17" customFormat="1" x14ac:dyDescent="0.3"/>
    <row r="415" s="17" customFormat="1" x14ac:dyDescent="0.3"/>
    <row r="416" s="17" customFormat="1" x14ac:dyDescent="0.3"/>
    <row r="417" s="17" customFormat="1" x14ac:dyDescent="0.3"/>
    <row r="418" s="17" customFormat="1" x14ac:dyDescent="0.3"/>
    <row r="419" s="17" customFormat="1" x14ac:dyDescent="0.3"/>
    <row r="420" s="17" customFormat="1" x14ac:dyDescent="0.3"/>
    <row r="421" s="17" customFormat="1" x14ac:dyDescent="0.3"/>
    <row r="422" s="17" customFormat="1" x14ac:dyDescent="0.3"/>
    <row r="423" s="17" customFormat="1" x14ac:dyDescent="0.3"/>
    <row r="424" s="17" customFormat="1" x14ac:dyDescent="0.3"/>
    <row r="425" s="17" customFormat="1" x14ac:dyDescent="0.3"/>
    <row r="426" s="17" customFormat="1" x14ac:dyDescent="0.3"/>
    <row r="427" s="17" customFormat="1" x14ac:dyDescent="0.3"/>
    <row r="428" s="17" customFormat="1" x14ac:dyDescent="0.3"/>
    <row r="429" s="17" customFormat="1" x14ac:dyDescent="0.3"/>
    <row r="430" s="17" customFormat="1" x14ac:dyDescent="0.3"/>
    <row r="431" s="17" customFormat="1" x14ac:dyDescent="0.3"/>
    <row r="432" s="17" customFormat="1" x14ac:dyDescent="0.3"/>
    <row r="433" s="17" customFormat="1" x14ac:dyDescent="0.3"/>
    <row r="434" s="17" customFormat="1" x14ac:dyDescent="0.3"/>
    <row r="435" s="17" customFormat="1" x14ac:dyDescent="0.3"/>
    <row r="436" s="17" customFormat="1" x14ac:dyDescent="0.3"/>
    <row r="437" s="17" customFormat="1" x14ac:dyDescent="0.3"/>
    <row r="438" s="17" customFormat="1" x14ac:dyDescent="0.3"/>
    <row r="439" s="17" customFormat="1" x14ac:dyDescent="0.3"/>
    <row r="440" s="17" customFormat="1" x14ac:dyDescent="0.3"/>
    <row r="441" s="17" customFormat="1" x14ac:dyDescent="0.3"/>
    <row r="442" s="17" customFormat="1" x14ac:dyDescent="0.3"/>
    <row r="443" s="17" customFormat="1" x14ac:dyDescent="0.3"/>
    <row r="444" s="17" customFormat="1" x14ac:dyDescent="0.3"/>
    <row r="445" s="17" customFormat="1" x14ac:dyDescent="0.3"/>
    <row r="446" s="17" customFormat="1" x14ac:dyDescent="0.3"/>
    <row r="447" s="17" customFormat="1" x14ac:dyDescent="0.3"/>
  </sheetData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571EE-78ED-45FA-B0A6-14C9094DBADF}">
  <dimension ref="A2:C18"/>
  <sheetViews>
    <sheetView workbookViewId="0">
      <selection activeCell="B6" sqref="B6"/>
    </sheetView>
  </sheetViews>
  <sheetFormatPr defaultRowHeight="14.4" x14ac:dyDescent="0.3"/>
  <cols>
    <col min="1" max="1" width="20" customWidth="1"/>
    <col min="2" max="2" width="15.88671875" customWidth="1"/>
    <col min="3" max="3" width="19.5546875" customWidth="1"/>
  </cols>
  <sheetData>
    <row r="2" spans="1:3" x14ac:dyDescent="0.3">
      <c r="A2" s="38" t="s">
        <v>557</v>
      </c>
      <c r="B2" s="38"/>
    </row>
    <row r="4" spans="1:3" x14ac:dyDescent="0.3">
      <c r="A4" s="38" t="s">
        <v>517</v>
      </c>
      <c r="B4" t="s">
        <v>12</v>
      </c>
      <c r="C4" t="s">
        <v>294</v>
      </c>
    </row>
    <row r="5" spans="1:3" x14ac:dyDescent="0.3">
      <c r="A5" t="s">
        <v>518</v>
      </c>
    </row>
    <row r="6" spans="1:3" x14ac:dyDescent="0.3">
      <c r="A6" t="s">
        <v>576</v>
      </c>
      <c r="B6" s="214">
        <v>11960</v>
      </c>
    </row>
    <row r="7" spans="1:3" x14ac:dyDescent="0.3">
      <c r="A7" t="s">
        <v>520</v>
      </c>
    </row>
    <row r="9" spans="1:3" x14ac:dyDescent="0.3">
      <c r="A9" t="s">
        <v>521</v>
      </c>
    </row>
    <row r="10" spans="1:3" x14ac:dyDescent="0.3">
      <c r="A10" t="s">
        <v>522</v>
      </c>
      <c r="B10" s="214">
        <v>1044</v>
      </c>
      <c r="C10" t="s">
        <v>529</v>
      </c>
    </row>
    <row r="12" spans="1:3" x14ac:dyDescent="0.3">
      <c r="A12" t="s">
        <v>523</v>
      </c>
      <c r="B12">
        <v>312</v>
      </c>
    </row>
    <row r="13" spans="1:3" x14ac:dyDescent="0.3">
      <c r="A13" t="s">
        <v>524</v>
      </c>
    </row>
    <row r="15" spans="1:3" x14ac:dyDescent="0.3">
      <c r="A15" t="s">
        <v>525</v>
      </c>
      <c r="C15" t="s">
        <v>530</v>
      </c>
    </row>
    <row r="16" spans="1:3" x14ac:dyDescent="0.3">
      <c r="A16" t="s">
        <v>526</v>
      </c>
      <c r="B16">
        <v>137.69999999999999</v>
      </c>
    </row>
    <row r="18" spans="2:2" x14ac:dyDescent="0.3">
      <c r="B18" s="262">
        <f>SUM(B6:B17)</f>
        <v>13453.7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4B76C-FCEF-4CAC-BBEA-3C4E53587094}">
  <dimension ref="B5:E20"/>
  <sheetViews>
    <sheetView workbookViewId="0">
      <selection activeCell="G17" sqref="G17"/>
    </sheetView>
  </sheetViews>
  <sheetFormatPr defaultRowHeight="14.4" x14ac:dyDescent="0.3"/>
  <cols>
    <col min="2" max="2" width="25.5546875" customWidth="1"/>
    <col min="3" max="3" width="17.88671875" customWidth="1"/>
  </cols>
  <sheetData>
    <row r="5" spans="2:5" ht="28.8" x14ac:dyDescent="0.3">
      <c r="B5" s="263" t="s">
        <v>586</v>
      </c>
      <c r="C5" s="283" t="s">
        <v>12</v>
      </c>
    </row>
    <row r="6" spans="2:5" x14ac:dyDescent="0.3">
      <c r="B6" s="264" t="s">
        <v>560</v>
      </c>
      <c r="C6" s="266">
        <v>25293.82</v>
      </c>
    </row>
    <row r="7" spans="2:5" x14ac:dyDescent="0.3">
      <c r="B7" s="264" t="s">
        <v>561</v>
      </c>
      <c r="C7" s="266">
        <v>15593.94</v>
      </c>
    </row>
    <row r="8" spans="2:5" x14ac:dyDescent="0.3">
      <c r="B8" s="264" t="s">
        <v>358</v>
      </c>
      <c r="C8" s="266">
        <v>9751.51</v>
      </c>
    </row>
    <row r="9" spans="2:5" ht="15" thickBot="1" x14ac:dyDescent="0.35">
      <c r="B9" s="263" t="s">
        <v>548</v>
      </c>
      <c r="C9" s="267">
        <f>SUM(C6:C8)</f>
        <v>50639.270000000004</v>
      </c>
      <c r="E9" s="265"/>
    </row>
    <row r="10" spans="2:5" x14ac:dyDescent="0.3">
      <c r="C10" s="268"/>
    </row>
    <row r="11" spans="2:5" x14ac:dyDescent="0.3">
      <c r="B11" s="38" t="s">
        <v>563</v>
      </c>
      <c r="C11" s="268"/>
    </row>
    <row r="12" spans="2:5" x14ac:dyDescent="0.3">
      <c r="B12" t="s">
        <v>562</v>
      </c>
      <c r="C12" s="268">
        <v>20000</v>
      </c>
    </row>
    <row r="13" spans="2:5" x14ac:dyDescent="0.3">
      <c r="B13" t="s">
        <v>564</v>
      </c>
      <c r="C13" s="268">
        <v>1000</v>
      </c>
    </row>
    <row r="14" spans="2:5" x14ac:dyDescent="0.3">
      <c r="B14" t="s">
        <v>565</v>
      </c>
      <c r="C14" s="268">
        <v>12000</v>
      </c>
    </row>
    <row r="15" spans="2:5" ht="15" thickBot="1" x14ac:dyDescent="0.35">
      <c r="C15" s="267">
        <f>SUM(C12:C14)</f>
        <v>33000</v>
      </c>
    </row>
    <row r="16" spans="2:5" x14ac:dyDescent="0.3">
      <c r="B16" t="s">
        <v>566</v>
      </c>
      <c r="C16" s="269">
        <f>C9-C15</f>
        <v>17639.270000000004</v>
      </c>
    </row>
    <row r="19" spans="2:3" x14ac:dyDescent="0.3">
      <c r="B19" s="38"/>
    </row>
    <row r="20" spans="2:3" x14ac:dyDescent="0.3">
      <c r="C20" s="21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B995-AE9E-421D-AFCF-AFA2FFDD36AC}">
  <sheetPr>
    <tabColor rgb="FFFFFF00"/>
  </sheetPr>
  <dimension ref="A1:W72"/>
  <sheetViews>
    <sheetView tabSelected="1" workbookViewId="0">
      <selection activeCell="W4" sqref="W4"/>
    </sheetView>
  </sheetViews>
  <sheetFormatPr defaultRowHeight="14.4" x14ac:dyDescent="0.3"/>
  <cols>
    <col min="1" max="1" width="19.77734375" customWidth="1"/>
    <col min="2" max="19" width="0" hidden="1" customWidth="1"/>
    <col min="20" max="20" width="15.44140625" customWidth="1"/>
    <col min="21" max="21" width="15" customWidth="1"/>
    <col min="22" max="22" width="17" customWidth="1"/>
    <col min="23" max="23" width="38.5546875" customWidth="1"/>
  </cols>
  <sheetData>
    <row r="1" spans="1:23" ht="60" customHeight="1" x14ac:dyDescent="0.3">
      <c r="A1" s="289"/>
      <c r="B1" s="290" t="s">
        <v>95</v>
      </c>
      <c r="C1" s="290" t="s">
        <v>100</v>
      </c>
      <c r="D1" s="291" t="s">
        <v>536</v>
      </c>
      <c r="E1" s="290" t="s">
        <v>211</v>
      </c>
      <c r="F1" s="290" t="s">
        <v>510</v>
      </c>
      <c r="G1" s="290" t="s">
        <v>511</v>
      </c>
      <c r="H1" s="291" t="s">
        <v>559</v>
      </c>
      <c r="I1" s="291" t="s">
        <v>514</v>
      </c>
      <c r="J1" s="291"/>
      <c r="K1" s="291" t="s">
        <v>569</v>
      </c>
      <c r="L1" s="291" t="s">
        <v>575</v>
      </c>
      <c r="M1" s="291"/>
      <c r="N1" s="291" t="s">
        <v>589</v>
      </c>
      <c r="O1" s="291" t="s">
        <v>581</v>
      </c>
      <c r="P1" s="291" t="s">
        <v>582</v>
      </c>
      <c r="Q1" s="291" t="s">
        <v>512</v>
      </c>
      <c r="R1" s="291" t="s">
        <v>587</v>
      </c>
      <c r="S1" s="291"/>
      <c r="T1" s="292" t="s">
        <v>597</v>
      </c>
      <c r="U1" s="293" t="s">
        <v>598</v>
      </c>
      <c r="V1" s="293" t="s">
        <v>599</v>
      </c>
      <c r="W1" t="s">
        <v>602</v>
      </c>
    </row>
    <row r="2" spans="1:23" ht="27" customHeight="1" x14ac:dyDescent="0.3">
      <c r="A2" s="274" t="s">
        <v>267</v>
      </c>
      <c r="B2" s="54"/>
      <c r="C2" s="181"/>
      <c r="D2" s="17"/>
      <c r="E2" s="54"/>
      <c r="F2" s="54"/>
      <c r="G2" s="54"/>
      <c r="H2" s="54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294"/>
    </row>
    <row r="3" spans="1:23" ht="43.2" x14ac:dyDescent="0.3">
      <c r="A3" s="273" t="s">
        <v>513</v>
      </c>
      <c r="B3" s="54"/>
      <c r="C3" s="181"/>
      <c r="D3" s="17"/>
      <c r="E3" s="54"/>
      <c r="F3" s="54"/>
      <c r="G3" s="54">
        <v>0</v>
      </c>
      <c r="H3" s="54">
        <f>Receipts!D3+Receipts!D4+Receipts!D8</f>
        <v>193.64</v>
      </c>
      <c r="I3" s="17">
        <v>150</v>
      </c>
      <c r="J3" s="17"/>
      <c r="K3" s="17"/>
      <c r="L3" s="17">
        <v>300</v>
      </c>
      <c r="M3" s="17"/>
      <c r="N3" s="17">
        <v>241.82</v>
      </c>
      <c r="O3" s="17">
        <v>485</v>
      </c>
      <c r="P3" s="17">
        <f>L3-O3</f>
        <v>-185</v>
      </c>
      <c r="Q3" s="17" t="s">
        <v>555</v>
      </c>
      <c r="R3" s="17"/>
      <c r="S3" s="17"/>
      <c r="T3" s="294">
        <v>298</v>
      </c>
      <c r="U3">
        <v>149.04</v>
      </c>
      <c r="V3" s="296">
        <f>U3/T3</f>
        <v>0.50013422818791942</v>
      </c>
    </row>
    <row r="4" spans="1:23" ht="27" customHeight="1" x14ac:dyDescent="0.3">
      <c r="A4" s="275" t="s">
        <v>509</v>
      </c>
      <c r="B4" s="54" t="s">
        <v>12</v>
      </c>
      <c r="C4" s="181" t="s">
        <v>10</v>
      </c>
      <c r="D4" s="17">
        <v>24500</v>
      </c>
      <c r="E4" s="54"/>
      <c r="F4" s="54">
        <v>24500</v>
      </c>
      <c r="G4" s="54">
        <v>27000</v>
      </c>
      <c r="H4" s="54">
        <v>27000</v>
      </c>
      <c r="I4" s="17">
        <v>0</v>
      </c>
      <c r="J4" s="17"/>
      <c r="K4" s="17"/>
      <c r="L4" s="17">
        <f>H4*0.0741+G4</f>
        <v>29000.7</v>
      </c>
      <c r="M4" s="17"/>
      <c r="N4" s="17">
        <v>29000</v>
      </c>
      <c r="O4" s="17">
        <v>29000</v>
      </c>
      <c r="P4" s="17">
        <f>L4-O4</f>
        <v>0.7000000000007276</v>
      </c>
      <c r="Q4" s="17" t="s">
        <v>556</v>
      </c>
      <c r="R4" s="17"/>
      <c r="S4" s="17"/>
      <c r="T4" s="294">
        <v>33000</v>
      </c>
      <c r="U4" s="214">
        <v>16500</v>
      </c>
      <c r="V4" s="296">
        <f>U4/T4</f>
        <v>0.5</v>
      </c>
    </row>
    <row r="5" spans="1:23" x14ac:dyDescent="0.3">
      <c r="A5" s="276"/>
      <c r="B5" s="54"/>
      <c r="C5" s="181" t="s">
        <v>10</v>
      </c>
      <c r="D5" s="17"/>
      <c r="E5" s="54"/>
      <c r="F5" s="54"/>
      <c r="G5" s="54"/>
      <c r="H5" s="54"/>
      <c r="I5" s="17"/>
      <c r="J5" s="17"/>
      <c r="K5" s="17"/>
      <c r="L5" s="70"/>
      <c r="M5" s="70"/>
      <c r="N5" s="70"/>
      <c r="O5" s="70">
        <f>SUM(O3:O4)</f>
        <v>29485</v>
      </c>
      <c r="P5" s="17"/>
      <c r="Q5" s="17"/>
      <c r="R5" s="17"/>
      <c r="S5" s="17"/>
      <c r="T5" s="294"/>
      <c r="V5" s="296"/>
    </row>
    <row r="6" spans="1:23" ht="18" x14ac:dyDescent="0.35">
      <c r="A6" s="277"/>
      <c r="B6" s="54"/>
      <c r="C6" s="181"/>
      <c r="D6" s="17"/>
      <c r="E6" s="54"/>
      <c r="F6" s="54"/>
      <c r="G6" s="54"/>
      <c r="H6" s="54"/>
      <c r="I6" s="17"/>
      <c r="J6" s="17"/>
      <c r="K6" s="17"/>
      <c r="L6" s="17"/>
      <c r="M6" s="17"/>
      <c r="N6" s="17"/>
      <c r="O6" s="17"/>
      <c r="P6" s="17"/>
      <c r="Q6" s="17"/>
      <c r="R6" s="70">
        <f>SUM(P3:P5)</f>
        <v>-184.29999999999927</v>
      </c>
      <c r="S6" s="17"/>
      <c r="T6" s="294">
        <f>SUM(T3:T5)</f>
        <v>33298</v>
      </c>
      <c r="U6">
        <f>SUM(U3:U5)</f>
        <v>16649.04</v>
      </c>
      <c r="V6" s="296">
        <f t="shared" ref="V6:V17" si="0">U6/T6</f>
        <v>0.50000120127334979</v>
      </c>
    </row>
    <row r="7" spans="1:23" ht="28.8" x14ac:dyDescent="0.3">
      <c r="A7" s="274" t="s">
        <v>113</v>
      </c>
      <c r="B7" s="54"/>
      <c r="C7" s="181"/>
      <c r="D7" s="17"/>
      <c r="E7" s="54"/>
      <c r="F7" s="54"/>
      <c r="G7" s="54"/>
      <c r="H7" s="54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294" t="s">
        <v>588</v>
      </c>
      <c r="V7" s="296"/>
    </row>
    <row r="8" spans="1:23" ht="28.8" x14ac:dyDescent="0.3">
      <c r="A8" s="274" t="s">
        <v>277</v>
      </c>
      <c r="B8" s="54"/>
      <c r="C8" s="181"/>
      <c r="D8" s="17"/>
      <c r="E8" s="54"/>
      <c r="F8" s="54"/>
      <c r="G8" s="54"/>
      <c r="H8" s="54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294"/>
      <c r="V8" s="296"/>
    </row>
    <row r="9" spans="1:23" ht="28.8" x14ac:dyDescent="0.3">
      <c r="A9" s="276" t="s">
        <v>115</v>
      </c>
      <c r="B9" s="54"/>
      <c r="C9" s="181"/>
      <c r="D9" s="17">
        <v>7904</v>
      </c>
      <c r="E9" s="54"/>
      <c r="F9" s="54">
        <v>8664</v>
      </c>
      <c r="G9" s="54">
        <v>10980</v>
      </c>
      <c r="H9" s="54">
        <f>Payments!K49+Payments!M49+Payments!N49</f>
        <v>5513.1200000000008</v>
      </c>
      <c r="I9" s="17">
        <v>5850</v>
      </c>
      <c r="J9" s="17"/>
      <c r="K9" s="17">
        <f>SUM(G9)-(H9+I9)</f>
        <v>-383.1200000000008</v>
      </c>
      <c r="L9" s="17">
        <f>'Assumptions '!B6</f>
        <v>11960</v>
      </c>
      <c r="M9" s="17"/>
      <c r="N9" s="17">
        <v>5947.33</v>
      </c>
      <c r="O9" s="17">
        <f>N9*2</f>
        <v>11894.66</v>
      </c>
      <c r="P9" s="17">
        <f>L9-O9</f>
        <v>65.340000000000146</v>
      </c>
      <c r="Q9" s="17" t="s">
        <v>527</v>
      </c>
      <c r="R9" s="17"/>
      <c r="S9" s="17"/>
      <c r="T9" s="294">
        <v>12874</v>
      </c>
      <c r="U9" s="17">
        <v>4897.13</v>
      </c>
      <c r="V9" s="296">
        <f t="shared" si="0"/>
        <v>0.38038915643933513</v>
      </c>
    </row>
    <row r="10" spans="1:23" ht="28.8" x14ac:dyDescent="0.3">
      <c r="A10" s="276" t="s">
        <v>521</v>
      </c>
      <c r="B10" s="54"/>
      <c r="C10" s="181"/>
      <c r="D10" s="17">
        <v>0</v>
      </c>
      <c r="E10" s="54"/>
      <c r="F10" s="54">
        <v>0</v>
      </c>
      <c r="G10" s="54">
        <v>0</v>
      </c>
      <c r="H10" s="17">
        <v>0</v>
      </c>
      <c r="I10" s="17">
        <v>195</v>
      </c>
      <c r="J10" s="17"/>
      <c r="K10" s="17">
        <f t="shared" ref="K10:K69" si="1">SUM(G10)-(H10+I10)</f>
        <v>-195</v>
      </c>
      <c r="L10" s="17">
        <f>'Assumptions '!B10</f>
        <v>1044</v>
      </c>
      <c r="M10" s="17"/>
      <c r="N10" s="17">
        <v>536.1</v>
      </c>
      <c r="O10" s="17">
        <v>1200</v>
      </c>
      <c r="P10" s="17">
        <f>L10-O10</f>
        <v>-156</v>
      </c>
      <c r="Q10" s="17" t="s">
        <v>515</v>
      </c>
      <c r="R10" s="17"/>
      <c r="S10" s="17"/>
      <c r="T10" s="294">
        <v>1182</v>
      </c>
      <c r="U10">
        <v>287.02999999999997</v>
      </c>
      <c r="V10" s="296">
        <f t="shared" si="0"/>
        <v>0.24283417935702198</v>
      </c>
    </row>
    <row r="11" spans="1:23" ht="25.8" customHeight="1" x14ac:dyDescent="0.3">
      <c r="A11" s="276" t="s">
        <v>600</v>
      </c>
      <c r="B11" s="54"/>
      <c r="C11" s="181"/>
      <c r="D11" s="17">
        <v>0</v>
      </c>
      <c r="E11" s="54"/>
      <c r="F11" s="54">
        <v>0</v>
      </c>
      <c r="G11" s="54">
        <v>0</v>
      </c>
      <c r="H11" s="17">
        <f>Payments!J49</f>
        <v>376.14</v>
      </c>
      <c r="I11" s="17">
        <v>1236</v>
      </c>
      <c r="J11" s="17"/>
      <c r="K11" s="17">
        <f t="shared" si="1"/>
        <v>-1612.1399999999999</v>
      </c>
      <c r="L11" s="17">
        <f>L9*0.217</f>
        <v>2595.3200000000002</v>
      </c>
      <c r="M11" s="17"/>
      <c r="N11" s="17">
        <v>665.97</v>
      </c>
      <c r="O11" s="17">
        <v>2581</v>
      </c>
      <c r="P11" s="17">
        <f>L11-O11</f>
        <v>14.320000000000164</v>
      </c>
      <c r="Q11" s="17" t="s">
        <v>583</v>
      </c>
      <c r="R11" s="17"/>
      <c r="S11" s="17"/>
      <c r="T11" s="294">
        <v>2794</v>
      </c>
      <c r="U11">
        <v>1053.6500000000001</v>
      </c>
      <c r="V11" s="296">
        <f t="shared" si="0"/>
        <v>0.37711166785969941</v>
      </c>
    </row>
    <row r="12" spans="1:23" ht="28.8" x14ac:dyDescent="0.3">
      <c r="A12" s="276" t="s">
        <v>119</v>
      </c>
      <c r="B12" s="54"/>
      <c r="C12" s="181"/>
      <c r="D12" s="17">
        <v>318</v>
      </c>
      <c r="E12" s="54"/>
      <c r="F12" s="54">
        <v>318</v>
      </c>
      <c r="G12" s="54">
        <v>318</v>
      </c>
      <c r="H12" s="54">
        <v>156</v>
      </c>
      <c r="I12" s="17">
        <v>162</v>
      </c>
      <c r="J12" s="17"/>
      <c r="K12" s="17">
        <f t="shared" si="1"/>
        <v>0</v>
      </c>
      <c r="L12" s="17">
        <f>'Assumptions '!B12</f>
        <v>312</v>
      </c>
      <c r="M12" s="17"/>
      <c r="N12" s="17">
        <v>0</v>
      </c>
      <c r="O12" s="17">
        <f t="shared" ref="O12:O13" si="2">N12*2</f>
        <v>0</v>
      </c>
      <c r="P12" s="17">
        <f t="shared" ref="P12:P13" si="3">L12-O12</f>
        <v>312</v>
      </c>
      <c r="Q12" s="17" t="s">
        <v>578</v>
      </c>
      <c r="R12" s="17"/>
      <c r="S12" s="17"/>
      <c r="T12" s="294">
        <v>312</v>
      </c>
      <c r="U12">
        <v>130</v>
      </c>
      <c r="V12" s="296">
        <f t="shared" si="0"/>
        <v>0.41666666666666669</v>
      </c>
    </row>
    <row r="13" spans="1:23" x14ac:dyDescent="0.3">
      <c r="A13" s="276" t="s">
        <v>121</v>
      </c>
      <c r="B13" s="54"/>
      <c r="C13" s="181"/>
      <c r="D13" s="17">
        <v>55</v>
      </c>
      <c r="E13" s="17"/>
      <c r="F13" s="54">
        <v>137</v>
      </c>
      <c r="G13" s="17">
        <v>137</v>
      </c>
      <c r="H13" s="17">
        <v>68</v>
      </c>
      <c r="I13" s="17">
        <v>68</v>
      </c>
      <c r="J13" s="17"/>
      <c r="K13" s="17">
        <f t="shared" si="1"/>
        <v>1</v>
      </c>
      <c r="L13" s="17">
        <f>'Assumptions '!B16</f>
        <v>137.69999999999999</v>
      </c>
      <c r="M13" s="17"/>
      <c r="N13" s="17">
        <v>0</v>
      </c>
      <c r="O13" s="17">
        <f t="shared" si="2"/>
        <v>0</v>
      </c>
      <c r="P13" s="17">
        <f t="shared" si="3"/>
        <v>137.69999999999999</v>
      </c>
      <c r="Q13" s="17" t="s">
        <v>531</v>
      </c>
      <c r="R13" s="17"/>
      <c r="S13" s="17"/>
      <c r="T13" s="294">
        <v>137</v>
      </c>
      <c r="U13">
        <v>28</v>
      </c>
      <c r="V13" s="296">
        <f t="shared" si="0"/>
        <v>0.20437956204379562</v>
      </c>
    </row>
    <row r="14" spans="1:23" x14ac:dyDescent="0.3">
      <c r="A14" s="276"/>
      <c r="B14" s="54"/>
      <c r="C14" s="181"/>
      <c r="D14" s="17"/>
      <c r="E14" s="17"/>
      <c r="F14" s="54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70">
        <f>SUM(P9:P13)</f>
        <v>373.3600000000003</v>
      </c>
      <c r="S14" s="17"/>
      <c r="T14" s="295"/>
      <c r="V14" s="296"/>
    </row>
    <row r="15" spans="1:23" ht="43.2" x14ac:dyDescent="0.3">
      <c r="A15" s="274" t="s">
        <v>168</v>
      </c>
      <c r="B15" s="54"/>
      <c r="C15" s="181"/>
      <c r="D15" s="17"/>
      <c r="E15" s="54"/>
      <c r="F15" s="54"/>
      <c r="G15" s="54"/>
      <c r="H15" s="54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294"/>
      <c r="V15" s="296"/>
    </row>
    <row r="16" spans="1:23" ht="28.8" x14ac:dyDescent="0.3">
      <c r="A16" s="276" t="s">
        <v>132</v>
      </c>
      <c r="B16" s="54"/>
      <c r="C16" s="181"/>
      <c r="D16" s="17">
        <v>240</v>
      </c>
      <c r="E16" s="54" t="s">
        <v>215</v>
      </c>
      <c r="F16" s="54">
        <v>126</v>
      </c>
      <c r="G16" s="54">
        <v>240</v>
      </c>
      <c r="H16" s="54">
        <v>108</v>
      </c>
      <c r="I16" s="17">
        <v>0</v>
      </c>
      <c r="J16" s="17"/>
      <c r="K16" s="17">
        <f t="shared" si="1"/>
        <v>132</v>
      </c>
      <c r="L16" s="17">
        <v>108</v>
      </c>
      <c r="M16" s="17"/>
      <c r="N16" s="17">
        <v>0</v>
      </c>
      <c r="O16" s="17">
        <f>L16</f>
        <v>108</v>
      </c>
      <c r="P16" s="17">
        <v>0</v>
      </c>
      <c r="Q16" s="17" t="s">
        <v>579</v>
      </c>
      <c r="R16" s="17"/>
      <c r="S16" s="17"/>
      <c r="T16" s="294">
        <v>108</v>
      </c>
      <c r="U16">
        <v>18</v>
      </c>
      <c r="V16" s="296">
        <f t="shared" si="0"/>
        <v>0.16666666666666666</v>
      </c>
    </row>
    <row r="17" spans="1:22" ht="43.2" x14ac:dyDescent="0.3">
      <c r="A17" s="273" t="s">
        <v>234</v>
      </c>
      <c r="B17" s="54"/>
      <c r="C17" s="181"/>
      <c r="D17" s="17">
        <v>250</v>
      </c>
      <c r="E17" s="54"/>
      <c r="F17" s="54">
        <v>45</v>
      </c>
      <c r="G17" s="54">
        <v>250</v>
      </c>
      <c r="H17" s="17">
        <v>45</v>
      </c>
      <c r="I17" s="17">
        <v>200</v>
      </c>
      <c r="J17" s="17"/>
      <c r="K17" s="17">
        <f t="shared" si="1"/>
        <v>5</v>
      </c>
      <c r="L17" s="17">
        <v>250</v>
      </c>
      <c r="M17" s="17"/>
      <c r="N17" s="17">
        <v>0</v>
      </c>
      <c r="O17" s="17">
        <v>230</v>
      </c>
      <c r="P17" s="17">
        <v>0</v>
      </c>
      <c r="Q17" s="17" t="s">
        <v>528</v>
      </c>
      <c r="R17" s="17"/>
      <c r="S17" s="17"/>
      <c r="T17" s="294">
        <v>250</v>
      </c>
      <c r="U17">
        <v>0</v>
      </c>
      <c r="V17" s="296">
        <f t="shared" si="0"/>
        <v>0</v>
      </c>
    </row>
    <row r="18" spans="1:22" ht="57.6" x14ac:dyDescent="0.3">
      <c r="A18" s="273" t="s">
        <v>590</v>
      </c>
      <c r="B18" s="54"/>
      <c r="C18" s="181"/>
      <c r="D18" s="17">
        <v>330</v>
      </c>
      <c r="E18" s="54" t="s">
        <v>212</v>
      </c>
      <c r="F18" s="54">
        <v>240</v>
      </c>
      <c r="G18" s="54">
        <v>100</v>
      </c>
      <c r="H18" s="17">
        <v>0</v>
      </c>
      <c r="I18" s="17">
        <v>300</v>
      </c>
      <c r="J18" s="17"/>
      <c r="K18" s="17">
        <f t="shared" si="1"/>
        <v>-200</v>
      </c>
      <c r="L18" s="17">
        <v>300</v>
      </c>
      <c r="M18" s="17"/>
      <c r="N18" s="17">
        <v>0</v>
      </c>
      <c r="O18" s="17">
        <f t="shared" ref="O18:O23" si="4">L18</f>
        <v>300</v>
      </c>
      <c r="P18" s="17">
        <v>0</v>
      </c>
      <c r="Q18" s="17" t="s">
        <v>580</v>
      </c>
      <c r="R18" s="17"/>
      <c r="S18" s="17"/>
      <c r="T18" s="294">
        <v>315</v>
      </c>
      <c r="U18">
        <v>0</v>
      </c>
      <c r="V18" s="296">
        <f t="shared" ref="V18:V71" si="5">U18/T18</f>
        <v>0</v>
      </c>
    </row>
    <row r="19" spans="1:22" ht="57.6" x14ac:dyDescent="0.3">
      <c r="A19" s="276" t="s">
        <v>136</v>
      </c>
      <c r="B19" s="54"/>
      <c r="C19" s="181"/>
      <c r="D19" s="17">
        <v>500</v>
      </c>
      <c r="E19" s="54"/>
      <c r="F19" s="54">
        <v>190</v>
      </c>
      <c r="G19" s="54">
        <v>1200</v>
      </c>
      <c r="H19" s="17">
        <v>0</v>
      </c>
      <c r="I19" s="17">
        <v>1200</v>
      </c>
      <c r="J19" s="17"/>
      <c r="K19" s="17">
        <f t="shared" si="1"/>
        <v>0</v>
      </c>
      <c r="L19" s="17">
        <v>1200</v>
      </c>
      <c r="M19" s="17"/>
      <c r="N19" s="17">
        <v>0</v>
      </c>
      <c r="O19" s="17">
        <f t="shared" si="4"/>
        <v>1200</v>
      </c>
      <c r="P19" s="17">
        <v>0</v>
      </c>
      <c r="Q19" s="17" t="s">
        <v>580</v>
      </c>
      <c r="R19" s="17"/>
      <c r="S19" s="17"/>
      <c r="T19" s="294">
        <v>1300</v>
      </c>
      <c r="U19">
        <v>0</v>
      </c>
      <c r="V19" s="296">
        <f t="shared" si="5"/>
        <v>0</v>
      </c>
    </row>
    <row r="20" spans="1:22" ht="43.2" x14ac:dyDescent="0.3">
      <c r="A20" s="273" t="s">
        <v>236</v>
      </c>
      <c r="B20" s="54"/>
      <c r="C20" s="181"/>
      <c r="D20" s="17">
        <v>550</v>
      </c>
      <c r="E20" s="54"/>
      <c r="F20" s="54">
        <v>725</v>
      </c>
      <c r="G20" s="54">
        <v>300</v>
      </c>
      <c r="H20" s="17">
        <v>0</v>
      </c>
      <c r="I20" s="17">
        <v>300</v>
      </c>
      <c r="J20" s="17"/>
      <c r="K20" s="17">
        <f t="shared" si="1"/>
        <v>0</v>
      </c>
      <c r="L20" s="17">
        <v>300</v>
      </c>
      <c r="M20" s="17"/>
      <c r="N20" s="17">
        <v>0</v>
      </c>
      <c r="O20" s="17">
        <f t="shared" si="4"/>
        <v>300</v>
      </c>
      <c r="P20" s="17">
        <v>0</v>
      </c>
      <c r="Q20" s="17" t="s">
        <v>580</v>
      </c>
      <c r="R20" s="17"/>
      <c r="S20" s="17"/>
      <c r="T20" s="294">
        <v>330</v>
      </c>
      <c r="U20">
        <v>0</v>
      </c>
      <c r="V20" s="296">
        <f t="shared" si="5"/>
        <v>0</v>
      </c>
    </row>
    <row r="21" spans="1:22" ht="28.8" x14ac:dyDescent="0.3">
      <c r="A21" s="276" t="s">
        <v>11</v>
      </c>
      <c r="B21" s="54"/>
      <c r="C21" s="181"/>
      <c r="D21" s="17">
        <v>550</v>
      </c>
      <c r="E21" s="54" t="s">
        <v>212</v>
      </c>
      <c r="F21" s="54">
        <v>477.93</v>
      </c>
      <c r="G21" s="54">
        <v>800</v>
      </c>
      <c r="H21" s="17">
        <v>370</v>
      </c>
      <c r="I21" s="17">
        <v>370</v>
      </c>
      <c r="J21" s="17"/>
      <c r="K21" s="17">
        <f t="shared" si="1"/>
        <v>60</v>
      </c>
      <c r="L21" s="17">
        <v>800</v>
      </c>
      <c r="M21" s="17"/>
      <c r="N21" s="17">
        <v>279.24</v>
      </c>
      <c r="O21" s="17">
        <v>700</v>
      </c>
      <c r="P21" s="17">
        <f>L21-O21</f>
        <v>100</v>
      </c>
      <c r="Q21" s="17" t="s">
        <v>584</v>
      </c>
      <c r="R21" s="17"/>
      <c r="S21" s="17"/>
      <c r="T21" s="294">
        <v>570</v>
      </c>
      <c r="U21">
        <v>279.24</v>
      </c>
      <c r="V21" s="296">
        <f t="shared" si="5"/>
        <v>0.48989473684210527</v>
      </c>
    </row>
    <row r="22" spans="1:22" ht="28.8" x14ac:dyDescent="0.3">
      <c r="A22" s="276" t="s">
        <v>532</v>
      </c>
      <c r="B22" s="54"/>
      <c r="C22" s="181"/>
      <c r="D22" s="17">
        <v>76</v>
      </c>
      <c r="E22" s="54"/>
      <c r="F22" s="54">
        <v>0</v>
      </c>
      <c r="G22" s="17">
        <v>0</v>
      </c>
      <c r="H22" s="17">
        <v>0</v>
      </c>
      <c r="I22" s="17">
        <v>0</v>
      </c>
      <c r="J22" s="17"/>
      <c r="K22" s="17">
        <f t="shared" si="1"/>
        <v>0</v>
      </c>
      <c r="L22" s="17">
        <v>100</v>
      </c>
      <c r="M22" s="17"/>
      <c r="N22" s="17">
        <v>0</v>
      </c>
      <c r="O22" s="17">
        <v>0</v>
      </c>
      <c r="P22" s="17">
        <f t="shared" ref="P22:P64" si="6">L22-O22</f>
        <v>100</v>
      </c>
      <c r="Q22" s="17" t="s">
        <v>551</v>
      </c>
      <c r="R22" s="17"/>
      <c r="S22" s="17"/>
      <c r="T22" s="294">
        <v>100</v>
      </c>
      <c r="U22">
        <v>0</v>
      </c>
      <c r="V22" s="296">
        <f t="shared" si="5"/>
        <v>0</v>
      </c>
    </row>
    <row r="23" spans="1:22" x14ac:dyDescent="0.3">
      <c r="A23" s="273" t="s">
        <v>591</v>
      </c>
      <c r="B23" s="54"/>
      <c r="C23" s="181"/>
      <c r="D23" s="17">
        <v>0</v>
      </c>
      <c r="E23" s="54"/>
      <c r="F23" s="54">
        <v>0</v>
      </c>
      <c r="G23" s="17">
        <v>0</v>
      </c>
      <c r="H23" s="17">
        <v>0</v>
      </c>
      <c r="I23" s="17">
        <v>0</v>
      </c>
      <c r="J23" s="17"/>
      <c r="K23" s="17">
        <f t="shared" si="1"/>
        <v>0</v>
      </c>
      <c r="L23" s="17">
        <v>300</v>
      </c>
      <c r="M23" s="17"/>
      <c r="N23" s="17">
        <v>0</v>
      </c>
      <c r="O23" s="17">
        <f t="shared" si="4"/>
        <v>300</v>
      </c>
      <c r="P23" s="17">
        <f t="shared" si="6"/>
        <v>0</v>
      </c>
      <c r="Q23" s="17" t="s">
        <v>580</v>
      </c>
      <c r="R23" s="17"/>
      <c r="S23" s="17"/>
      <c r="T23" s="294">
        <v>330</v>
      </c>
      <c r="U23">
        <v>0</v>
      </c>
      <c r="V23" s="296">
        <f t="shared" si="5"/>
        <v>0</v>
      </c>
    </row>
    <row r="24" spans="1:22" ht="43.2" x14ac:dyDescent="0.3">
      <c r="A24" s="273" t="s">
        <v>543</v>
      </c>
      <c r="B24" s="54"/>
      <c r="C24" s="181"/>
      <c r="D24" s="17">
        <v>350</v>
      </c>
      <c r="E24" s="54"/>
      <c r="F24" s="54">
        <v>350</v>
      </c>
      <c r="G24" s="54">
        <v>350</v>
      </c>
      <c r="H24" s="17">
        <v>350</v>
      </c>
      <c r="I24" s="17"/>
      <c r="J24" s="17"/>
      <c r="K24" s="17">
        <f t="shared" si="1"/>
        <v>0</v>
      </c>
      <c r="L24" s="17">
        <v>370</v>
      </c>
      <c r="M24" s="17"/>
      <c r="N24" s="17">
        <v>350</v>
      </c>
      <c r="O24" s="17">
        <v>350</v>
      </c>
      <c r="P24" s="17">
        <f t="shared" si="6"/>
        <v>20</v>
      </c>
      <c r="Q24" s="17" t="s">
        <v>552</v>
      </c>
      <c r="R24" s="17"/>
      <c r="S24" s="17"/>
      <c r="T24" s="294">
        <v>350</v>
      </c>
      <c r="U24">
        <v>350</v>
      </c>
      <c r="V24" s="296">
        <f t="shared" si="5"/>
        <v>1</v>
      </c>
    </row>
    <row r="25" spans="1:22" x14ac:dyDescent="0.3">
      <c r="A25" s="273"/>
      <c r="B25" s="54"/>
      <c r="C25" s="181"/>
      <c r="D25" s="17"/>
      <c r="E25" s="54"/>
      <c r="F25" s="54"/>
      <c r="G25" s="54"/>
      <c r="H25" s="54"/>
      <c r="I25" s="17"/>
      <c r="J25" s="17"/>
      <c r="K25" s="17"/>
      <c r="L25" s="17"/>
      <c r="M25" s="17"/>
      <c r="N25" s="17"/>
      <c r="O25" s="17"/>
      <c r="P25" s="17"/>
      <c r="Q25" s="17"/>
      <c r="R25" s="70">
        <f>SUM(P16:P24)</f>
        <v>220</v>
      </c>
      <c r="S25" s="17"/>
      <c r="T25" s="295"/>
      <c r="V25" s="296"/>
    </row>
    <row r="26" spans="1:22" ht="43.2" x14ac:dyDescent="0.3">
      <c r="A26" s="274" t="s">
        <v>533</v>
      </c>
      <c r="B26" s="54"/>
      <c r="C26" s="181"/>
      <c r="D26" s="17"/>
      <c r="E26" s="54"/>
      <c r="F26" s="54"/>
      <c r="G26" s="54"/>
      <c r="H26" s="54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294"/>
      <c r="V26" s="296"/>
    </row>
    <row r="27" spans="1:22" ht="28.8" x14ac:dyDescent="0.3">
      <c r="A27" s="276" t="s">
        <v>160</v>
      </c>
      <c r="B27" s="54"/>
      <c r="C27" s="181"/>
      <c r="D27" s="17">
        <v>200</v>
      </c>
      <c r="E27" s="54"/>
      <c r="F27" s="54">
        <v>150</v>
      </c>
      <c r="G27" s="54">
        <v>250</v>
      </c>
      <c r="H27" s="17">
        <v>240</v>
      </c>
      <c r="I27" s="17"/>
      <c r="J27" s="17"/>
      <c r="K27" s="17">
        <f t="shared" si="1"/>
        <v>10</v>
      </c>
      <c r="L27" s="17">
        <v>250</v>
      </c>
      <c r="M27" s="17"/>
      <c r="N27" s="17">
        <v>200</v>
      </c>
      <c r="O27" s="17">
        <v>200</v>
      </c>
      <c r="P27" s="17">
        <f t="shared" si="6"/>
        <v>50</v>
      </c>
      <c r="Q27" s="17" t="s">
        <v>553</v>
      </c>
      <c r="R27" s="17"/>
      <c r="S27" s="17"/>
      <c r="T27" s="294">
        <v>210</v>
      </c>
      <c r="U27">
        <v>200</v>
      </c>
      <c r="V27" s="296">
        <f t="shared" si="5"/>
        <v>0.95238095238095233</v>
      </c>
    </row>
    <row r="28" spans="1:22" ht="28.8" x14ac:dyDescent="0.3">
      <c r="A28" s="276" t="s">
        <v>161</v>
      </c>
      <c r="B28" s="54"/>
      <c r="C28" s="181"/>
      <c r="D28" s="17">
        <v>275</v>
      </c>
      <c r="E28" s="54" t="s">
        <v>212</v>
      </c>
      <c r="F28" s="54">
        <v>210</v>
      </c>
      <c r="G28" s="54">
        <v>280</v>
      </c>
      <c r="H28" s="17">
        <v>0</v>
      </c>
      <c r="I28" s="17">
        <v>210</v>
      </c>
      <c r="J28" s="17"/>
      <c r="K28" s="17">
        <f t="shared" si="1"/>
        <v>70</v>
      </c>
      <c r="L28" s="17">
        <v>230</v>
      </c>
      <c r="M28" s="17"/>
      <c r="N28" s="17">
        <v>210</v>
      </c>
      <c r="O28" s="17">
        <v>210</v>
      </c>
      <c r="P28" s="17">
        <f t="shared" si="6"/>
        <v>20</v>
      </c>
      <c r="Q28" s="17" t="s">
        <v>552</v>
      </c>
      <c r="R28" s="17"/>
      <c r="S28" s="17"/>
      <c r="T28" s="294">
        <v>220</v>
      </c>
      <c r="V28" s="296">
        <f t="shared" si="5"/>
        <v>0</v>
      </c>
    </row>
    <row r="29" spans="1:22" ht="43.2" x14ac:dyDescent="0.3">
      <c r="A29" s="276" t="s">
        <v>126</v>
      </c>
      <c r="B29" s="54"/>
      <c r="C29" s="181"/>
      <c r="D29" s="17">
        <v>1000</v>
      </c>
      <c r="E29" s="54"/>
      <c r="F29" s="54">
        <v>908.48</v>
      </c>
      <c r="G29" s="17">
        <v>1500</v>
      </c>
      <c r="H29" s="17">
        <v>1040</v>
      </c>
      <c r="I29" s="17">
        <v>0</v>
      </c>
      <c r="J29" s="17"/>
      <c r="K29" s="17">
        <f t="shared" si="1"/>
        <v>460</v>
      </c>
      <c r="L29" s="17">
        <v>1350</v>
      </c>
      <c r="M29" s="17"/>
      <c r="N29" s="17">
        <v>1134</v>
      </c>
      <c r="O29" s="17">
        <v>1134</v>
      </c>
      <c r="P29" s="17">
        <f t="shared" si="6"/>
        <v>216</v>
      </c>
      <c r="Q29" s="17" t="s">
        <v>550</v>
      </c>
      <c r="R29" s="17"/>
      <c r="S29" s="17"/>
      <c r="T29" s="294">
        <v>1160</v>
      </c>
      <c r="U29">
        <v>1151.5</v>
      </c>
      <c r="V29" s="296">
        <f t="shared" si="5"/>
        <v>0.99267241379310345</v>
      </c>
    </row>
    <row r="30" spans="1:22" x14ac:dyDescent="0.3">
      <c r="A30" s="276"/>
      <c r="B30" s="54"/>
      <c r="C30" s="181"/>
      <c r="D30" s="17"/>
      <c r="E30" s="54"/>
      <c r="F30" s="54"/>
      <c r="G30" s="17"/>
      <c r="H30" s="54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294"/>
      <c r="V30" s="296"/>
    </row>
    <row r="31" spans="1:22" ht="28.8" x14ac:dyDescent="0.3">
      <c r="A31" s="274" t="s">
        <v>144</v>
      </c>
      <c r="B31" s="54"/>
      <c r="C31" s="181"/>
      <c r="D31" s="17"/>
      <c r="E31" s="54"/>
      <c r="F31" s="54"/>
      <c r="G31" s="54"/>
      <c r="H31" s="54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294"/>
      <c r="V31" s="296"/>
    </row>
    <row r="32" spans="1:22" ht="28.8" x14ac:dyDescent="0.3">
      <c r="A32" s="276" t="s">
        <v>145</v>
      </c>
      <c r="B32" s="54"/>
      <c r="C32" s="181"/>
      <c r="D32" s="17">
        <v>280</v>
      </c>
      <c r="E32" s="54"/>
      <c r="F32" s="54">
        <v>280</v>
      </c>
      <c r="G32" s="54">
        <v>330</v>
      </c>
      <c r="H32" s="17">
        <v>280</v>
      </c>
      <c r="I32" s="17">
        <v>0</v>
      </c>
      <c r="J32" s="17"/>
      <c r="K32" s="17">
        <f t="shared" si="1"/>
        <v>50</v>
      </c>
      <c r="L32" s="17">
        <v>308</v>
      </c>
      <c r="M32" s="17"/>
      <c r="N32" s="17">
        <v>280</v>
      </c>
      <c r="O32" s="17">
        <v>280</v>
      </c>
      <c r="P32" s="17">
        <f t="shared" si="6"/>
        <v>28</v>
      </c>
      <c r="Q32" s="17" t="s">
        <v>212</v>
      </c>
      <c r="R32" s="17"/>
      <c r="S32" s="17"/>
      <c r="T32" s="294">
        <v>280</v>
      </c>
      <c r="U32">
        <v>280</v>
      </c>
      <c r="V32" s="296">
        <f t="shared" si="5"/>
        <v>1</v>
      </c>
    </row>
    <row r="33" spans="1:22" x14ac:dyDescent="0.3">
      <c r="A33" s="276" t="s">
        <v>592</v>
      </c>
      <c r="B33" s="54"/>
      <c r="C33" s="181"/>
      <c r="D33" s="17"/>
      <c r="E33" s="54"/>
      <c r="F33" s="54"/>
      <c r="G33" s="54"/>
      <c r="H33" s="17">
        <v>0</v>
      </c>
      <c r="I33" s="17">
        <v>476</v>
      </c>
      <c r="J33" s="17"/>
      <c r="K33" s="17">
        <f t="shared" si="1"/>
        <v>-476</v>
      </c>
      <c r="L33" s="17">
        <v>480</v>
      </c>
      <c r="M33" s="17"/>
      <c r="N33" s="17">
        <v>625.4</v>
      </c>
      <c r="O33" s="17">
        <v>1122</v>
      </c>
      <c r="P33" s="17">
        <f t="shared" si="6"/>
        <v>-642</v>
      </c>
      <c r="Q33" s="17" t="s">
        <v>212</v>
      </c>
      <c r="R33" s="17"/>
      <c r="S33" s="17"/>
      <c r="T33" s="294">
        <v>1200</v>
      </c>
      <c r="U33">
        <v>567.52</v>
      </c>
      <c r="V33" s="296">
        <f t="shared" si="5"/>
        <v>0.47293333333333332</v>
      </c>
    </row>
    <row r="34" spans="1:22" x14ac:dyDescent="0.3">
      <c r="A34" s="276"/>
      <c r="B34" s="54"/>
      <c r="C34" s="181"/>
      <c r="D34" s="17">
        <v>310</v>
      </c>
      <c r="E34" s="54"/>
      <c r="F34" s="54">
        <v>128</v>
      </c>
      <c r="G34" s="274">
        <v>150</v>
      </c>
      <c r="H34" s="17">
        <v>0</v>
      </c>
      <c r="I34" s="17">
        <v>0</v>
      </c>
      <c r="J34" s="17"/>
      <c r="K34" s="17">
        <f t="shared" si="1"/>
        <v>150</v>
      </c>
      <c r="L34" s="17"/>
      <c r="M34" s="17"/>
      <c r="N34" s="17"/>
      <c r="O34" s="17"/>
      <c r="P34" s="17"/>
      <c r="Q34" s="17" t="s">
        <v>544</v>
      </c>
      <c r="R34" s="17"/>
      <c r="S34" s="17"/>
      <c r="T34" s="294"/>
      <c r="V34" s="296"/>
    </row>
    <row r="35" spans="1:22" x14ac:dyDescent="0.3">
      <c r="A35" s="276"/>
      <c r="B35" s="54"/>
      <c r="C35" s="181"/>
      <c r="D35" s="17"/>
      <c r="E35" s="54"/>
      <c r="F35" s="54"/>
      <c r="G35" s="274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70">
        <f>SUM(P32:P34)</f>
        <v>-614</v>
      </c>
      <c r="S35" s="17"/>
      <c r="T35" s="295"/>
      <c r="V35" s="296"/>
    </row>
    <row r="36" spans="1:22" ht="28.8" x14ac:dyDescent="0.3">
      <c r="A36" s="274" t="s">
        <v>21</v>
      </c>
      <c r="B36" s="54"/>
      <c r="C36" s="181"/>
      <c r="D36" s="17"/>
      <c r="E36" s="54"/>
      <c r="F36" s="54"/>
      <c r="G36" s="54"/>
      <c r="H36" s="54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294"/>
      <c r="V36" s="296"/>
    </row>
    <row r="37" spans="1:22" ht="28.8" x14ac:dyDescent="0.3">
      <c r="A37" s="273" t="s">
        <v>577</v>
      </c>
      <c r="B37" s="54"/>
      <c r="C37" s="181"/>
      <c r="D37" s="17">
        <v>140</v>
      </c>
      <c r="E37" s="54"/>
      <c r="F37" s="54">
        <v>140</v>
      </c>
      <c r="G37" s="54">
        <v>160</v>
      </c>
      <c r="H37" s="17">
        <v>0</v>
      </c>
      <c r="I37" s="17">
        <v>160</v>
      </c>
      <c r="J37" s="17"/>
      <c r="K37" s="17">
        <f t="shared" si="1"/>
        <v>0</v>
      </c>
      <c r="L37" s="17">
        <v>400</v>
      </c>
      <c r="M37" s="17"/>
      <c r="N37" s="17">
        <v>0</v>
      </c>
      <c r="O37" s="17">
        <v>200</v>
      </c>
      <c r="P37" s="17">
        <f t="shared" si="6"/>
        <v>200</v>
      </c>
      <c r="Q37" s="17" t="s">
        <v>554</v>
      </c>
      <c r="R37" s="17"/>
      <c r="S37" s="17"/>
      <c r="T37" s="294">
        <v>200</v>
      </c>
      <c r="V37" s="296">
        <f t="shared" si="5"/>
        <v>0</v>
      </c>
    </row>
    <row r="38" spans="1:22" ht="43.2" x14ac:dyDescent="0.3">
      <c r="A38" s="276" t="s">
        <v>146</v>
      </c>
      <c r="B38" s="54"/>
      <c r="C38" s="181"/>
      <c r="D38" s="17"/>
      <c r="E38" s="54"/>
      <c r="F38" s="54">
        <v>45</v>
      </c>
      <c r="G38" s="54">
        <v>45</v>
      </c>
      <c r="H38" s="17">
        <v>45</v>
      </c>
      <c r="I38" s="17">
        <v>0</v>
      </c>
      <c r="J38" s="17"/>
      <c r="K38" s="17">
        <f t="shared" si="1"/>
        <v>0</v>
      </c>
      <c r="L38" s="17">
        <v>50</v>
      </c>
      <c r="M38" s="17"/>
      <c r="N38" s="17">
        <v>45</v>
      </c>
      <c r="O38" s="17">
        <v>45</v>
      </c>
      <c r="P38" s="17">
        <f t="shared" si="6"/>
        <v>5</v>
      </c>
      <c r="Q38" s="17"/>
      <c r="R38" s="17"/>
      <c r="S38" s="17"/>
      <c r="T38" s="294">
        <v>50</v>
      </c>
      <c r="V38" s="296">
        <f t="shared" si="5"/>
        <v>0</v>
      </c>
    </row>
    <row r="39" spans="1:22" x14ac:dyDescent="0.3">
      <c r="A39" s="276" t="s">
        <v>150</v>
      </c>
      <c r="B39" s="54"/>
      <c r="C39" s="181"/>
      <c r="D39" s="17"/>
      <c r="E39" s="54"/>
      <c r="F39" s="54">
        <v>0</v>
      </c>
      <c r="G39" s="54">
        <v>45</v>
      </c>
      <c r="H39" s="17">
        <v>0</v>
      </c>
      <c r="I39" s="17">
        <v>45</v>
      </c>
      <c r="J39" s="17"/>
      <c r="K39" s="17">
        <f t="shared" si="1"/>
        <v>0</v>
      </c>
      <c r="L39" s="17">
        <v>50</v>
      </c>
      <c r="M39" s="17"/>
      <c r="N39" s="17">
        <v>0</v>
      </c>
      <c r="O39" s="17">
        <v>50</v>
      </c>
      <c r="P39" s="17">
        <f t="shared" si="6"/>
        <v>0</v>
      </c>
      <c r="Q39" s="17"/>
      <c r="R39" s="17"/>
      <c r="S39" s="17"/>
      <c r="T39" s="294">
        <v>50</v>
      </c>
      <c r="V39" s="296">
        <f t="shared" si="5"/>
        <v>0</v>
      </c>
    </row>
    <row r="40" spans="1:22" x14ac:dyDescent="0.3">
      <c r="A40" s="276" t="s">
        <v>151</v>
      </c>
      <c r="B40" s="54"/>
      <c r="C40" s="181"/>
      <c r="D40" s="17"/>
      <c r="E40" s="54"/>
      <c r="F40" s="54">
        <v>0</v>
      </c>
      <c r="G40" s="54">
        <v>35</v>
      </c>
      <c r="H40" s="17">
        <v>0</v>
      </c>
      <c r="I40" s="17">
        <v>35</v>
      </c>
      <c r="J40" s="17"/>
      <c r="K40" s="17">
        <f t="shared" si="1"/>
        <v>0</v>
      </c>
      <c r="L40" s="17">
        <v>40</v>
      </c>
      <c r="M40" s="17"/>
      <c r="N40" s="17">
        <v>0</v>
      </c>
      <c r="O40" s="17">
        <v>40</v>
      </c>
      <c r="P40" s="17">
        <f t="shared" si="6"/>
        <v>0</v>
      </c>
      <c r="Q40" s="17"/>
      <c r="R40" s="17"/>
      <c r="S40" s="17"/>
      <c r="T40" s="294">
        <v>40</v>
      </c>
      <c r="V40" s="296">
        <f t="shared" si="5"/>
        <v>0</v>
      </c>
    </row>
    <row r="41" spans="1:22" ht="57.6" x14ac:dyDescent="0.3">
      <c r="A41" s="276" t="s">
        <v>573</v>
      </c>
      <c r="B41" s="54"/>
      <c r="C41" s="181"/>
      <c r="D41" s="17">
        <v>0</v>
      </c>
      <c r="E41" s="54"/>
      <c r="F41" s="54">
        <v>25</v>
      </c>
      <c r="G41" s="17">
        <v>40</v>
      </c>
      <c r="H41" s="17">
        <v>0</v>
      </c>
      <c r="I41" s="17">
        <v>40</v>
      </c>
      <c r="J41" s="17"/>
      <c r="K41" s="17">
        <f t="shared" si="1"/>
        <v>0</v>
      </c>
      <c r="L41" s="17">
        <v>50</v>
      </c>
      <c r="M41" s="17"/>
      <c r="N41" s="17">
        <v>25</v>
      </c>
      <c r="O41" s="17">
        <v>25</v>
      </c>
      <c r="P41" s="17">
        <f t="shared" si="6"/>
        <v>25</v>
      </c>
      <c r="Q41" s="17"/>
      <c r="R41" s="17"/>
      <c r="S41" s="17"/>
      <c r="T41" s="294">
        <v>25</v>
      </c>
      <c r="U41">
        <v>25</v>
      </c>
      <c r="V41" s="296"/>
    </row>
    <row r="42" spans="1:22" x14ac:dyDescent="0.3">
      <c r="A42" s="276"/>
      <c r="B42" s="54"/>
      <c r="C42" s="181"/>
      <c r="D42" s="17"/>
      <c r="E42" s="54"/>
      <c r="F42" s="54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70">
        <f>SUM(P37:P41)</f>
        <v>230</v>
      </c>
      <c r="S42" s="17"/>
      <c r="T42" s="295"/>
      <c r="V42" s="296"/>
    </row>
    <row r="43" spans="1:22" ht="57.6" x14ac:dyDescent="0.3">
      <c r="A43" s="274" t="s">
        <v>534</v>
      </c>
      <c r="B43" s="54"/>
      <c r="C43" s="181"/>
      <c r="D43" s="17"/>
      <c r="E43" s="54"/>
      <c r="F43" s="54"/>
      <c r="G43" s="54"/>
      <c r="H43" s="17"/>
      <c r="I43" s="17"/>
      <c r="J43" s="17"/>
      <c r="K43" s="17"/>
      <c r="L43" s="17"/>
      <c r="M43" s="17"/>
      <c r="N43" s="17"/>
      <c r="O43" s="17"/>
      <c r="P43" s="17">
        <f t="shared" si="6"/>
        <v>0</v>
      </c>
      <c r="Q43" s="17"/>
      <c r="R43" s="17"/>
      <c r="S43" s="17"/>
      <c r="T43" s="294"/>
      <c r="V43" s="296"/>
    </row>
    <row r="44" spans="1:22" ht="43.2" x14ac:dyDescent="0.3">
      <c r="A44" s="273" t="s">
        <v>238</v>
      </c>
      <c r="B44" s="54"/>
      <c r="C44" s="181"/>
      <c r="D44" s="17">
        <v>400</v>
      </c>
      <c r="E44" s="54"/>
      <c r="F44" s="54">
        <f>Payments!O103</f>
        <v>0</v>
      </c>
      <c r="G44" s="54">
        <v>300</v>
      </c>
      <c r="H44" s="17">
        <v>0</v>
      </c>
      <c r="I44" s="17"/>
      <c r="J44" s="17"/>
      <c r="K44" s="17">
        <f t="shared" si="1"/>
        <v>300</v>
      </c>
      <c r="L44" s="17">
        <v>1165</v>
      </c>
      <c r="M44" s="17"/>
      <c r="N44" s="17">
        <v>40</v>
      </c>
      <c r="O44" s="17">
        <v>40</v>
      </c>
      <c r="P44" s="17">
        <f>L44-O44</f>
        <v>1125</v>
      </c>
      <c r="Q44" s="17" t="s">
        <v>558</v>
      </c>
      <c r="R44" s="17"/>
      <c r="S44" s="17"/>
      <c r="T44" s="294">
        <v>74</v>
      </c>
      <c r="V44" s="296">
        <f t="shared" si="5"/>
        <v>0</v>
      </c>
    </row>
    <row r="45" spans="1:22" ht="57.6" x14ac:dyDescent="0.3">
      <c r="A45" s="273" t="s">
        <v>568</v>
      </c>
      <c r="B45" s="54"/>
      <c r="C45" s="181"/>
      <c r="D45" s="17">
        <v>45</v>
      </c>
      <c r="E45" s="54"/>
      <c r="F45" s="54">
        <v>45</v>
      </c>
      <c r="G45" s="17">
        <v>0</v>
      </c>
      <c r="H45" s="17">
        <v>0</v>
      </c>
      <c r="I45" s="17">
        <v>45</v>
      </c>
      <c r="J45" s="17"/>
      <c r="K45" s="17"/>
      <c r="L45" s="17">
        <v>70</v>
      </c>
      <c r="M45" s="17"/>
      <c r="N45" s="17">
        <v>0</v>
      </c>
      <c r="O45" s="17">
        <v>70</v>
      </c>
      <c r="P45" s="17">
        <f t="shared" si="6"/>
        <v>0</v>
      </c>
      <c r="Q45" s="17"/>
      <c r="R45" s="17"/>
      <c r="S45" s="17"/>
      <c r="T45" s="294">
        <v>70</v>
      </c>
      <c r="V45" s="296">
        <f t="shared" si="5"/>
        <v>0</v>
      </c>
    </row>
    <row r="46" spans="1:22" ht="43.2" x14ac:dyDescent="0.3">
      <c r="A46" s="276" t="s">
        <v>567</v>
      </c>
      <c r="B46" s="54"/>
      <c r="C46" s="181"/>
      <c r="D46" s="17">
        <v>35</v>
      </c>
      <c r="E46" s="54"/>
      <c r="F46" s="54">
        <v>25</v>
      </c>
      <c r="G46" s="54">
        <v>25</v>
      </c>
      <c r="H46" s="17">
        <v>0</v>
      </c>
      <c r="I46" s="17">
        <v>25</v>
      </c>
      <c r="J46" s="17"/>
      <c r="K46" s="17">
        <f t="shared" si="1"/>
        <v>0</v>
      </c>
      <c r="L46" s="17">
        <v>70</v>
      </c>
      <c r="M46" s="17"/>
      <c r="N46" s="17">
        <v>0</v>
      </c>
      <c r="O46" s="17">
        <v>70</v>
      </c>
      <c r="P46" s="17">
        <f t="shared" si="6"/>
        <v>0</v>
      </c>
      <c r="Q46" s="17"/>
      <c r="R46" s="17"/>
      <c r="S46" s="17"/>
      <c r="T46" s="294">
        <v>70</v>
      </c>
      <c r="V46" s="296">
        <f t="shared" si="5"/>
        <v>0</v>
      </c>
    </row>
    <row r="47" spans="1:22" ht="28.8" x14ac:dyDescent="0.3">
      <c r="A47" s="276" t="s">
        <v>155</v>
      </c>
      <c r="B47" s="54"/>
      <c r="C47" s="181"/>
      <c r="D47" s="17">
        <v>600</v>
      </c>
      <c r="E47" s="54"/>
      <c r="F47" s="54">
        <v>0</v>
      </c>
      <c r="G47" s="54">
        <v>400</v>
      </c>
      <c r="H47" s="17">
        <v>0</v>
      </c>
      <c r="I47" s="17">
        <v>700</v>
      </c>
      <c r="J47" s="17"/>
      <c r="K47" s="17">
        <f t="shared" si="1"/>
        <v>-300</v>
      </c>
      <c r="L47" s="17">
        <v>700</v>
      </c>
      <c r="M47" s="17"/>
      <c r="N47" s="17">
        <v>0</v>
      </c>
      <c r="O47" s="17">
        <v>700</v>
      </c>
      <c r="P47" s="17">
        <f t="shared" si="6"/>
        <v>0</v>
      </c>
      <c r="Q47" s="17"/>
      <c r="R47" s="17"/>
      <c r="S47" s="17"/>
      <c r="T47" s="294">
        <v>700</v>
      </c>
      <c r="V47" s="296">
        <f t="shared" si="5"/>
        <v>0</v>
      </c>
    </row>
    <row r="48" spans="1:22" ht="43.2" x14ac:dyDescent="0.3">
      <c r="A48" s="276" t="s">
        <v>156</v>
      </c>
      <c r="B48" s="54"/>
      <c r="C48" s="181"/>
      <c r="D48" s="17">
        <v>250</v>
      </c>
      <c r="E48" s="54"/>
      <c r="F48" s="54">
        <v>0</v>
      </c>
      <c r="G48" s="54">
        <v>250</v>
      </c>
      <c r="H48" s="17">
        <v>0</v>
      </c>
      <c r="I48" s="17">
        <v>250</v>
      </c>
      <c r="J48" s="17"/>
      <c r="K48" s="17">
        <f t="shared" si="1"/>
        <v>0</v>
      </c>
      <c r="L48" s="17">
        <v>250</v>
      </c>
      <c r="M48" s="17"/>
      <c r="N48" s="17">
        <v>0</v>
      </c>
      <c r="O48" s="17">
        <v>250</v>
      </c>
      <c r="P48" s="17">
        <f t="shared" si="6"/>
        <v>0</v>
      </c>
      <c r="Q48" s="17"/>
      <c r="R48" s="17"/>
      <c r="S48" s="17"/>
      <c r="T48" s="294">
        <v>250</v>
      </c>
      <c r="U48">
        <v>500</v>
      </c>
      <c r="V48" s="296">
        <f t="shared" si="5"/>
        <v>2</v>
      </c>
    </row>
    <row r="49" spans="1:22" ht="43.2" x14ac:dyDescent="0.3">
      <c r="A49" s="276" t="s">
        <v>158</v>
      </c>
      <c r="B49" s="54"/>
      <c r="C49" s="181"/>
      <c r="D49" s="17">
        <v>1000</v>
      </c>
      <c r="E49" s="54"/>
      <c r="F49" s="54">
        <v>1000</v>
      </c>
      <c r="G49" s="54">
        <v>1200</v>
      </c>
      <c r="H49" s="17">
        <v>0</v>
      </c>
      <c r="I49" s="17">
        <v>1000</v>
      </c>
      <c r="J49" s="17"/>
      <c r="K49" s="17">
        <f t="shared" si="1"/>
        <v>200</v>
      </c>
      <c r="L49" s="17">
        <v>1000</v>
      </c>
      <c r="M49" s="17"/>
      <c r="N49" s="17">
        <v>0</v>
      </c>
      <c r="O49" s="17">
        <v>1000</v>
      </c>
      <c r="P49" s="17">
        <f t="shared" si="6"/>
        <v>0</v>
      </c>
      <c r="Q49" s="17"/>
      <c r="R49" s="17"/>
      <c r="S49" s="17"/>
      <c r="T49" s="294">
        <v>1000</v>
      </c>
      <c r="U49">
        <v>1000</v>
      </c>
      <c r="V49" s="296">
        <f t="shared" si="5"/>
        <v>1</v>
      </c>
    </row>
    <row r="50" spans="1:22" x14ac:dyDescent="0.3">
      <c r="A50" s="273" t="s">
        <v>216</v>
      </c>
      <c r="B50" s="54"/>
      <c r="C50" s="181"/>
      <c r="D50" s="17">
        <v>1000</v>
      </c>
      <c r="E50" s="54"/>
      <c r="F50" s="54">
        <v>810</v>
      </c>
      <c r="G50" s="54">
        <v>1000</v>
      </c>
      <c r="H50" s="17">
        <v>0</v>
      </c>
      <c r="I50" s="17">
        <v>380</v>
      </c>
      <c r="J50" s="17"/>
      <c r="K50" s="17">
        <f t="shared" si="1"/>
        <v>620</v>
      </c>
      <c r="L50" s="17">
        <v>1000</v>
      </c>
      <c r="M50" s="17"/>
      <c r="N50" s="17">
        <v>0</v>
      </c>
      <c r="O50" s="17">
        <v>350</v>
      </c>
      <c r="P50" s="17">
        <f t="shared" si="6"/>
        <v>650</v>
      </c>
      <c r="Q50" s="17"/>
      <c r="R50" s="17"/>
      <c r="S50" s="17"/>
      <c r="T50" s="294">
        <v>400</v>
      </c>
      <c r="V50" s="296">
        <f t="shared" si="5"/>
        <v>0</v>
      </c>
    </row>
    <row r="51" spans="1:22" ht="28.8" x14ac:dyDescent="0.3">
      <c r="A51" s="273" t="s">
        <v>601</v>
      </c>
      <c r="B51" s="54"/>
      <c r="C51" s="181"/>
      <c r="D51" s="17">
        <v>0</v>
      </c>
      <c r="E51" s="54"/>
      <c r="F51" s="54">
        <v>1000</v>
      </c>
      <c r="G51" s="17">
        <v>1000</v>
      </c>
      <c r="H51" s="17">
        <v>0</v>
      </c>
      <c r="I51" s="17">
        <v>0</v>
      </c>
      <c r="J51" s="17"/>
      <c r="K51" s="17">
        <f t="shared" si="1"/>
        <v>1000</v>
      </c>
      <c r="L51" s="17">
        <v>300</v>
      </c>
      <c r="M51" s="17"/>
      <c r="N51" s="17">
        <v>0</v>
      </c>
      <c r="O51" s="17">
        <v>0</v>
      </c>
      <c r="P51" s="17">
        <f t="shared" si="6"/>
        <v>300</v>
      </c>
      <c r="Q51" s="17" t="s">
        <v>574</v>
      </c>
      <c r="R51" s="17"/>
      <c r="S51" s="17"/>
      <c r="T51" s="294">
        <v>1500</v>
      </c>
      <c r="V51" s="296"/>
    </row>
    <row r="52" spans="1:22" x14ac:dyDescent="0.3">
      <c r="A52" s="70" t="s">
        <v>572</v>
      </c>
      <c r="B52" s="17"/>
      <c r="C52" s="17"/>
      <c r="D52" s="70">
        <f t="shared" ref="D52:I52" si="7">SUM(D44:D51)</f>
        <v>3330</v>
      </c>
      <c r="E52" s="70">
        <f t="shared" si="7"/>
        <v>0</v>
      </c>
      <c r="F52" s="70">
        <f t="shared" si="7"/>
        <v>2880</v>
      </c>
      <c r="G52" s="70">
        <f t="shared" si="7"/>
        <v>4175</v>
      </c>
      <c r="H52" s="70">
        <f t="shared" si="7"/>
        <v>0</v>
      </c>
      <c r="I52" s="70">
        <f t="shared" si="7"/>
        <v>2400</v>
      </c>
      <c r="J52" s="70"/>
      <c r="K52" s="70">
        <f>SUM(G52)-(H52+I52)</f>
        <v>1775</v>
      </c>
      <c r="L52" s="70">
        <f>SUM(L44:L51)</f>
        <v>4555</v>
      </c>
      <c r="M52" s="70"/>
      <c r="N52" s="70">
        <f>SUM(N44:N51)</f>
        <v>40</v>
      </c>
      <c r="O52" s="70"/>
      <c r="P52" s="17"/>
      <c r="Q52" s="17"/>
      <c r="R52" s="70">
        <f>SUM(P44:P51)</f>
        <v>2075</v>
      </c>
      <c r="S52" s="17"/>
      <c r="T52" s="295"/>
      <c r="V52" s="296"/>
    </row>
    <row r="53" spans="1:22" x14ac:dyDescent="0.3">
      <c r="A53" s="70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294"/>
      <c r="V53" s="296"/>
    </row>
    <row r="54" spans="1:22" x14ac:dyDescent="0.3">
      <c r="A54" s="274" t="s">
        <v>537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294"/>
      <c r="V54" s="296"/>
    </row>
    <row r="55" spans="1:22" ht="28.8" x14ac:dyDescent="0.3">
      <c r="A55" s="273" t="s">
        <v>538</v>
      </c>
      <c r="B55" s="17"/>
      <c r="C55" s="17"/>
      <c r="D55" s="17">
        <v>0</v>
      </c>
      <c r="E55" s="17"/>
      <c r="F55" s="17">
        <v>68.84</v>
      </c>
      <c r="G55" s="17">
        <v>72</v>
      </c>
      <c r="H55" s="17">
        <v>36</v>
      </c>
      <c r="I55" s="17">
        <v>36</v>
      </c>
      <c r="J55" s="17"/>
      <c r="K55" s="17">
        <f t="shared" si="1"/>
        <v>0</v>
      </c>
      <c r="L55" s="17">
        <v>81</v>
      </c>
      <c r="M55" s="17"/>
      <c r="N55" s="17">
        <v>36</v>
      </c>
      <c r="O55" s="17">
        <v>72</v>
      </c>
      <c r="P55" s="17">
        <f t="shared" si="6"/>
        <v>9</v>
      </c>
      <c r="Q55" s="17"/>
      <c r="R55" s="17"/>
      <c r="S55" s="17"/>
      <c r="T55" s="294">
        <v>80</v>
      </c>
      <c r="U55">
        <v>35</v>
      </c>
      <c r="V55" s="296">
        <f t="shared" si="5"/>
        <v>0.4375</v>
      </c>
    </row>
    <row r="56" spans="1:22" ht="28.8" x14ac:dyDescent="0.3">
      <c r="A56" s="273" t="s">
        <v>539</v>
      </c>
      <c r="B56" s="17"/>
      <c r="C56" s="17"/>
      <c r="D56" s="17">
        <v>350</v>
      </c>
      <c r="E56" s="17"/>
      <c r="F56" s="17">
        <v>890</v>
      </c>
      <c r="G56" s="17">
        <v>500</v>
      </c>
      <c r="H56" s="17">
        <v>0</v>
      </c>
      <c r="I56" s="17">
        <v>200</v>
      </c>
      <c r="J56" s="17"/>
      <c r="K56" s="17">
        <f t="shared" si="1"/>
        <v>300</v>
      </c>
      <c r="L56" s="17">
        <v>400</v>
      </c>
      <c r="M56" s="17"/>
      <c r="N56" s="17">
        <v>0</v>
      </c>
      <c r="O56" s="17">
        <v>65</v>
      </c>
      <c r="P56" s="17">
        <f t="shared" si="6"/>
        <v>335</v>
      </c>
      <c r="Q56" s="17"/>
      <c r="R56" s="17"/>
      <c r="S56" s="17"/>
      <c r="T56" s="294">
        <v>250</v>
      </c>
      <c r="V56" s="296">
        <f t="shared" si="5"/>
        <v>0</v>
      </c>
    </row>
    <row r="57" spans="1:22" ht="43.2" x14ac:dyDescent="0.3">
      <c r="A57" s="276" t="s">
        <v>540</v>
      </c>
      <c r="B57" s="54"/>
      <c r="C57" s="181"/>
      <c r="D57" s="17">
        <v>500</v>
      </c>
      <c r="E57" s="54"/>
      <c r="F57" s="54">
        <v>190</v>
      </c>
      <c r="G57" s="17">
        <v>600</v>
      </c>
      <c r="H57" s="17">
        <v>0</v>
      </c>
      <c r="I57" s="17">
        <v>150</v>
      </c>
      <c r="J57" s="17"/>
      <c r="K57" s="17">
        <f t="shared" si="1"/>
        <v>450</v>
      </c>
      <c r="L57" s="17">
        <v>250</v>
      </c>
      <c r="M57" s="17"/>
      <c r="N57" s="17">
        <v>65</v>
      </c>
      <c r="O57" s="17">
        <v>195</v>
      </c>
      <c r="P57" s="17">
        <f t="shared" si="6"/>
        <v>55</v>
      </c>
      <c r="Q57" s="17" t="s">
        <v>571</v>
      </c>
      <c r="R57" s="17"/>
      <c r="S57" s="17"/>
      <c r="T57" s="294">
        <v>250</v>
      </c>
      <c r="V57" s="296">
        <f t="shared" si="5"/>
        <v>0</v>
      </c>
    </row>
    <row r="58" spans="1:22" ht="28.8" x14ac:dyDescent="0.3">
      <c r="A58" s="276" t="s">
        <v>545</v>
      </c>
      <c r="B58" s="54"/>
      <c r="C58" s="181"/>
      <c r="D58" s="17">
        <v>400</v>
      </c>
      <c r="E58" s="54"/>
      <c r="F58" s="54">
        <v>0</v>
      </c>
      <c r="G58" s="273">
        <v>400</v>
      </c>
      <c r="H58" s="17">
        <v>0</v>
      </c>
      <c r="I58" s="17">
        <v>0</v>
      </c>
      <c r="J58" s="17"/>
      <c r="K58" s="17">
        <f t="shared" si="1"/>
        <v>400</v>
      </c>
      <c r="L58" s="17">
        <v>400</v>
      </c>
      <c r="M58" s="17"/>
      <c r="N58" s="17">
        <v>0</v>
      </c>
      <c r="O58" s="17">
        <v>120</v>
      </c>
      <c r="P58" s="17">
        <f t="shared" si="6"/>
        <v>280</v>
      </c>
      <c r="Q58" s="17"/>
      <c r="R58" s="17"/>
      <c r="S58" s="17"/>
      <c r="T58" s="294">
        <v>200</v>
      </c>
      <c r="V58" s="296">
        <f t="shared" si="5"/>
        <v>0</v>
      </c>
    </row>
    <row r="59" spans="1:22" ht="57.6" x14ac:dyDescent="0.3">
      <c r="A59" s="276" t="s">
        <v>541</v>
      </c>
      <c r="B59" s="54"/>
      <c r="C59" s="181"/>
      <c r="D59" s="17">
        <v>0</v>
      </c>
      <c r="E59" s="54"/>
      <c r="F59" s="54">
        <v>0</v>
      </c>
      <c r="G59" s="273">
        <v>0</v>
      </c>
      <c r="H59" s="17">
        <v>0</v>
      </c>
      <c r="I59" s="17">
        <v>45</v>
      </c>
      <c r="J59" s="17"/>
      <c r="K59" s="17">
        <f t="shared" si="1"/>
        <v>-45</v>
      </c>
      <c r="L59" s="17">
        <v>45</v>
      </c>
      <c r="M59" s="17"/>
      <c r="N59" s="17">
        <v>0</v>
      </c>
      <c r="O59" s="17">
        <v>45</v>
      </c>
      <c r="P59" s="17">
        <f t="shared" si="6"/>
        <v>0</v>
      </c>
      <c r="Q59" s="17"/>
      <c r="R59" s="17"/>
      <c r="S59" s="17"/>
      <c r="T59" s="294">
        <v>50</v>
      </c>
      <c r="V59" s="296">
        <f t="shared" si="5"/>
        <v>0</v>
      </c>
    </row>
    <row r="60" spans="1:22" ht="28.8" x14ac:dyDescent="0.3">
      <c r="A60" s="276" t="s">
        <v>542</v>
      </c>
      <c r="B60" s="54"/>
      <c r="C60" s="181"/>
      <c r="D60" s="17">
        <v>200</v>
      </c>
      <c r="E60" s="54"/>
      <c r="F60" s="54">
        <v>200</v>
      </c>
      <c r="G60" s="273">
        <v>200</v>
      </c>
      <c r="H60" s="17">
        <v>0</v>
      </c>
      <c r="I60" s="17">
        <v>200</v>
      </c>
      <c r="J60" s="17"/>
      <c r="K60" s="17">
        <f t="shared" si="1"/>
        <v>0</v>
      </c>
      <c r="L60" s="17">
        <v>210</v>
      </c>
      <c r="M60" s="17"/>
      <c r="N60" s="17">
        <v>0</v>
      </c>
      <c r="O60" s="17">
        <v>0</v>
      </c>
      <c r="P60" s="17">
        <f t="shared" si="6"/>
        <v>210</v>
      </c>
      <c r="Q60" s="17"/>
      <c r="R60" s="17"/>
      <c r="S60" s="17"/>
      <c r="T60" s="294">
        <v>200</v>
      </c>
      <c r="V60" s="296">
        <f t="shared" si="5"/>
        <v>0</v>
      </c>
    </row>
    <row r="61" spans="1:22" ht="57.6" x14ac:dyDescent="0.3">
      <c r="A61" s="276" t="s">
        <v>546</v>
      </c>
      <c r="B61" s="54"/>
      <c r="C61" s="181"/>
      <c r="D61" s="17"/>
      <c r="E61" s="54"/>
      <c r="F61" s="54">
        <v>206</v>
      </c>
      <c r="G61" s="273">
        <v>150</v>
      </c>
      <c r="H61" s="17">
        <v>94</v>
      </c>
      <c r="I61" s="17">
        <v>60</v>
      </c>
      <c r="J61" s="17"/>
      <c r="K61" s="17">
        <f t="shared" si="1"/>
        <v>-4</v>
      </c>
      <c r="L61" s="17">
        <v>150</v>
      </c>
      <c r="M61" s="17"/>
      <c r="N61" s="17">
        <v>30</v>
      </c>
      <c r="O61" s="17">
        <v>100</v>
      </c>
      <c r="P61" s="17">
        <f t="shared" si="6"/>
        <v>50</v>
      </c>
      <c r="Q61" s="17"/>
      <c r="R61" s="17"/>
      <c r="S61" s="17"/>
      <c r="T61" s="294">
        <v>200</v>
      </c>
      <c r="U61">
        <v>216.07</v>
      </c>
      <c r="V61" s="296">
        <f t="shared" si="5"/>
        <v>1.0803499999999999</v>
      </c>
    </row>
    <row r="62" spans="1:22" ht="43.2" x14ac:dyDescent="0.3">
      <c r="A62" s="276" t="s">
        <v>547</v>
      </c>
      <c r="B62" s="54"/>
      <c r="C62" s="181"/>
      <c r="D62" s="17">
        <v>75</v>
      </c>
      <c r="E62" s="54"/>
      <c r="F62" s="54">
        <v>76</v>
      </c>
      <c r="G62" s="273">
        <v>75</v>
      </c>
      <c r="H62" s="54">
        <v>0</v>
      </c>
      <c r="I62" s="17">
        <v>75</v>
      </c>
      <c r="J62" s="17"/>
      <c r="K62" s="17">
        <f t="shared" si="1"/>
        <v>0</v>
      </c>
      <c r="L62" s="17">
        <v>75</v>
      </c>
      <c r="M62" s="17"/>
      <c r="N62" s="17">
        <v>0</v>
      </c>
      <c r="O62" s="17">
        <v>0</v>
      </c>
      <c r="P62" s="17">
        <f t="shared" si="6"/>
        <v>75</v>
      </c>
      <c r="Q62" s="17"/>
      <c r="R62" s="17"/>
      <c r="S62" s="17"/>
      <c r="T62" s="294">
        <v>0</v>
      </c>
      <c r="V62" s="296"/>
    </row>
    <row r="63" spans="1:22" ht="57.6" x14ac:dyDescent="0.3">
      <c r="A63" s="276" t="s">
        <v>596</v>
      </c>
      <c r="B63" s="54"/>
      <c r="C63" s="181"/>
      <c r="D63" s="17"/>
      <c r="E63" s="54"/>
      <c r="F63" s="54"/>
      <c r="G63" s="273"/>
      <c r="H63" s="54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294">
        <v>50</v>
      </c>
      <c r="U63">
        <v>75</v>
      </c>
      <c r="V63" s="296">
        <f t="shared" si="5"/>
        <v>1.5</v>
      </c>
    </row>
    <row r="64" spans="1:22" ht="43.2" x14ac:dyDescent="0.3">
      <c r="A64" s="273" t="s">
        <v>570</v>
      </c>
      <c r="B64" s="54"/>
      <c r="C64" s="181"/>
      <c r="D64" s="17">
        <v>0</v>
      </c>
      <c r="E64" s="54"/>
      <c r="F64" s="54">
        <v>0</v>
      </c>
      <c r="G64" s="273">
        <v>300</v>
      </c>
      <c r="H64" s="17">
        <v>0</v>
      </c>
      <c r="I64" s="17">
        <v>0</v>
      </c>
      <c r="J64" s="17"/>
      <c r="K64" s="17">
        <v>0</v>
      </c>
      <c r="L64" s="17">
        <v>150</v>
      </c>
      <c r="M64" s="17"/>
      <c r="N64" s="17">
        <v>0</v>
      </c>
      <c r="O64" s="17">
        <v>0</v>
      </c>
      <c r="P64" s="17">
        <f t="shared" si="6"/>
        <v>150</v>
      </c>
      <c r="Q64" s="17"/>
      <c r="R64" s="17"/>
      <c r="S64" s="17"/>
      <c r="T64" s="294">
        <v>167</v>
      </c>
      <c r="V64" s="296">
        <f t="shared" si="5"/>
        <v>0</v>
      </c>
    </row>
    <row r="65" spans="1:22" x14ac:dyDescent="0.3">
      <c r="A65" s="273"/>
      <c r="B65" s="54"/>
      <c r="C65" s="181"/>
      <c r="D65" s="17"/>
      <c r="E65" s="54"/>
      <c r="F65" s="54"/>
      <c r="G65" s="273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70">
        <f>SUM(P55:P64)</f>
        <v>1164</v>
      </c>
      <c r="S65" s="17"/>
      <c r="T65" s="294"/>
      <c r="V65" s="296"/>
    </row>
    <row r="66" spans="1:22" x14ac:dyDescent="0.3">
      <c r="A66" s="274" t="s">
        <v>162</v>
      </c>
      <c r="B66" s="54"/>
      <c r="C66" s="181"/>
      <c r="D66" s="17"/>
      <c r="E66" s="54"/>
      <c r="F66" s="54"/>
      <c r="G66" s="54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294"/>
      <c r="V66" s="296"/>
    </row>
    <row r="67" spans="1:22" ht="63" customHeight="1" x14ac:dyDescent="0.3">
      <c r="A67" s="276" t="s">
        <v>166</v>
      </c>
      <c r="B67" s="54"/>
      <c r="C67" s="181" t="e">
        <f>SUM(#REF!-(#REF!+#REF!))</f>
        <v>#REF!</v>
      </c>
      <c r="D67" s="17">
        <v>1700</v>
      </c>
      <c r="E67" s="17" t="s">
        <v>240</v>
      </c>
      <c r="F67" s="54">
        <v>1700</v>
      </c>
      <c r="G67" s="54">
        <v>0</v>
      </c>
      <c r="H67" s="17"/>
      <c r="I67" s="17">
        <v>0</v>
      </c>
      <c r="J67" s="17"/>
      <c r="K67" s="17">
        <f t="shared" si="1"/>
        <v>0</v>
      </c>
      <c r="L67" s="17"/>
      <c r="M67" s="17"/>
      <c r="N67" s="17"/>
      <c r="O67" s="17"/>
      <c r="P67" s="17"/>
      <c r="Q67" s="17"/>
      <c r="R67" s="17"/>
      <c r="S67" s="17"/>
      <c r="T67" s="294"/>
      <c r="V67" s="296"/>
    </row>
    <row r="68" spans="1:22" ht="43.2" x14ac:dyDescent="0.3">
      <c r="A68" s="276" t="s">
        <v>593</v>
      </c>
      <c r="B68" s="54"/>
      <c r="C68" s="181"/>
      <c r="D68" s="17">
        <v>0</v>
      </c>
      <c r="E68" s="17"/>
      <c r="F68" s="54">
        <v>0</v>
      </c>
      <c r="G68" s="54">
        <v>0</v>
      </c>
      <c r="H68" s="17">
        <v>345</v>
      </c>
      <c r="I68" s="17">
        <v>0</v>
      </c>
      <c r="J68" s="17"/>
      <c r="K68" s="17">
        <f t="shared" si="1"/>
        <v>-345</v>
      </c>
      <c r="L68" s="17"/>
      <c r="M68" s="17"/>
      <c r="N68" s="17"/>
      <c r="O68" s="17"/>
      <c r="P68" s="17"/>
      <c r="Q68" s="17"/>
      <c r="R68" s="17"/>
      <c r="S68" s="17"/>
      <c r="T68" s="294">
        <v>400</v>
      </c>
      <c r="V68" s="296">
        <f t="shared" si="5"/>
        <v>0</v>
      </c>
    </row>
    <row r="69" spans="1:22" ht="57.6" x14ac:dyDescent="0.3">
      <c r="A69" s="273" t="s">
        <v>595</v>
      </c>
      <c r="B69" s="54"/>
      <c r="C69" s="181"/>
      <c r="D69" s="17">
        <v>0</v>
      </c>
      <c r="E69" s="17"/>
      <c r="F69" s="54">
        <v>0</v>
      </c>
      <c r="G69" s="54">
        <v>0</v>
      </c>
      <c r="H69" s="17">
        <v>1365</v>
      </c>
      <c r="I69" s="17">
        <v>0</v>
      </c>
      <c r="J69" s="17"/>
      <c r="K69" s="17">
        <f t="shared" si="1"/>
        <v>-1365</v>
      </c>
      <c r="L69" s="17"/>
      <c r="M69" s="17"/>
      <c r="N69" s="17"/>
      <c r="O69" s="17"/>
      <c r="P69" s="17"/>
      <c r="Q69" s="17"/>
      <c r="R69" s="17"/>
      <c r="S69" s="17"/>
      <c r="T69" s="294">
        <v>2000</v>
      </c>
      <c r="V69" s="296">
        <f t="shared" si="5"/>
        <v>0</v>
      </c>
    </row>
    <row r="70" spans="1:22" ht="57.6" x14ac:dyDescent="0.3">
      <c r="A70" s="273" t="s">
        <v>594</v>
      </c>
      <c r="B70" s="54"/>
      <c r="C70" s="181"/>
      <c r="D70" s="17"/>
      <c r="E70" s="54"/>
      <c r="F70" s="54"/>
      <c r="G70" s="54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294">
        <v>1000</v>
      </c>
      <c r="U70" s="17"/>
      <c r="V70" s="296">
        <f t="shared" si="5"/>
        <v>0</v>
      </c>
    </row>
    <row r="71" spans="1:22" x14ac:dyDescent="0.3">
      <c r="A71" s="274" t="s">
        <v>548</v>
      </c>
      <c r="B71" s="54"/>
      <c r="C71" s="181"/>
      <c r="D71" s="70">
        <f>SUM(D9:D70)-D52</f>
        <v>19883</v>
      </c>
      <c r="E71" s="70"/>
      <c r="F71" s="70">
        <f>SUM(F9:F70)-F52</f>
        <v>19370.25</v>
      </c>
      <c r="G71" s="70">
        <f>SUM(G9:G70)-G52</f>
        <v>23982</v>
      </c>
      <c r="H71" s="70">
        <f>SUM(H9:H70)</f>
        <v>10431.260000000002</v>
      </c>
      <c r="I71" s="70">
        <f>SUM(I9:I70)-I52</f>
        <v>14013</v>
      </c>
      <c r="J71" s="70"/>
      <c r="K71" s="70">
        <f>SUM(G71)-(H71+I71)-K52</f>
        <v>-2237.260000000002</v>
      </c>
      <c r="L71" s="70">
        <f>SUM(L9:L70)-L52</f>
        <v>29301.020000000004</v>
      </c>
      <c r="M71" s="70"/>
      <c r="N71" s="70">
        <f>SUM(N9:N70)</f>
        <v>10509.039999999999</v>
      </c>
      <c r="O71" s="70">
        <f>SUM(O9:O70)</f>
        <v>25546.66</v>
      </c>
      <c r="P71" s="70">
        <f>L71-O71</f>
        <v>3754.3600000000042</v>
      </c>
      <c r="Q71" s="17"/>
      <c r="R71" s="17">
        <f>SUM(P71:Q71)</f>
        <v>3754.3600000000042</v>
      </c>
      <c r="S71" s="17"/>
      <c r="T71" s="294">
        <f>SUM(T9:T70)</f>
        <v>33298</v>
      </c>
      <c r="U71" s="17">
        <f>SUM(U9:U70)</f>
        <v>11093.14</v>
      </c>
      <c r="V71" s="296">
        <f t="shared" si="5"/>
        <v>0.3331473361763469</v>
      </c>
    </row>
    <row r="72" spans="1:22" x14ac:dyDescent="0.3">
      <c r="A72" s="276"/>
      <c r="B72" s="54"/>
      <c r="C72" s="181"/>
      <c r="D72" s="17"/>
      <c r="E72" s="17"/>
      <c r="F72" s="54">
        <f>D71-F71</f>
        <v>512.75</v>
      </c>
      <c r="G72" s="54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294">
        <f>T6-T71</f>
        <v>0</v>
      </c>
    </row>
  </sheetData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B717F-F6CB-4ECB-BB8F-97CBE7CB20AE}">
  <dimension ref="A1:O128"/>
  <sheetViews>
    <sheetView workbookViewId="0">
      <pane ySplit="1" topLeftCell="A7" activePane="bottomLeft" state="frozen"/>
      <selection activeCell="B23" sqref="B23"/>
      <selection pane="bottomLeft" activeCell="M26" sqref="M26"/>
    </sheetView>
  </sheetViews>
  <sheetFormatPr defaultColWidth="12.5546875" defaultRowHeight="14.4" x14ac:dyDescent="0.3"/>
  <cols>
    <col min="1" max="1" width="20" customWidth="1"/>
    <col min="2" max="2" width="13.5546875" customWidth="1"/>
    <col min="3" max="3" width="13" customWidth="1"/>
    <col min="4" max="4" width="23.88671875" hidden="1" customWidth="1"/>
    <col min="5" max="5" width="11.33203125" customWidth="1"/>
    <col min="6" max="6" width="18.5546875" customWidth="1"/>
    <col min="7" max="7" width="16.33203125" customWidth="1"/>
    <col min="8" max="8" width="12.6640625" customWidth="1"/>
    <col min="9" max="9" width="23.88671875" hidden="1" customWidth="1"/>
    <col min="10" max="10" width="11.44140625" style="65" customWidth="1"/>
    <col min="11" max="11" width="24.6640625" hidden="1" customWidth="1"/>
    <col min="12" max="12" width="12.5546875" style="170"/>
    <col min="14" max="14" width="12.5546875" style="173"/>
    <col min="15" max="15" width="45.109375" customWidth="1"/>
    <col min="16" max="16" width="22.5546875" customWidth="1"/>
  </cols>
  <sheetData>
    <row r="1" spans="1:15" s="37" customFormat="1" ht="57.6" x14ac:dyDescent="0.3">
      <c r="A1" s="49"/>
      <c r="C1" s="51" t="s">
        <v>209</v>
      </c>
      <c r="D1" s="51" t="s">
        <v>95</v>
      </c>
      <c r="E1" s="177" t="s">
        <v>210</v>
      </c>
      <c r="F1" s="177" t="s">
        <v>223</v>
      </c>
      <c r="G1" s="177" t="s">
        <v>225</v>
      </c>
      <c r="H1" s="177" t="s">
        <v>99</v>
      </c>
      <c r="I1" s="177" t="s">
        <v>100</v>
      </c>
      <c r="J1" s="177" t="s">
        <v>205</v>
      </c>
      <c r="K1" s="177" t="s">
        <v>211</v>
      </c>
      <c r="L1" s="177" t="s">
        <v>360</v>
      </c>
      <c r="M1" s="177" t="s">
        <v>361</v>
      </c>
      <c r="N1" s="176" t="s">
        <v>368</v>
      </c>
      <c r="O1" s="50" t="s">
        <v>294</v>
      </c>
    </row>
    <row r="2" spans="1:15" x14ac:dyDescent="0.3">
      <c r="A2" s="50"/>
      <c r="B2" s="52"/>
      <c r="C2" s="52"/>
      <c r="D2" s="52"/>
      <c r="E2" s="178"/>
      <c r="F2" s="178"/>
      <c r="G2" s="179"/>
      <c r="H2" s="178"/>
      <c r="I2" s="178"/>
      <c r="J2" s="178"/>
      <c r="K2" s="178"/>
      <c r="L2" s="178"/>
      <c r="M2" s="178"/>
      <c r="N2" s="172"/>
      <c r="O2" s="52"/>
    </row>
    <row r="3" spans="1:15" ht="28.8" x14ac:dyDescent="0.3">
      <c r="A3" s="51" t="s">
        <v>372</v>
      </c>
      <c r="B3" s="54"/>
      <c r="C3" s="52"/>
      <c r="D3" s="52"/>
      <c r="E3" s="178"/>
      <c r="F3" s="178"/>
      <c r="G3" s="178"/>
      <c r="H3" s="178"/>
      <c r="I3" s="178"/>
      <c r="J3" s="178"/>
      <c r="K3" s="178"/>
      <c r="L3" s="178"/>
      <c r="M3" s="178"/>
      <c r="N3" s="172"/>
      <c r="O3" s="52"/>
    </row>
    <row r="4" spans="1:15" x14ac:dyDescent="0.3">
      <c r="A4" s="258" t="s">
        <v>517</v>
      </c>
      <c r="B4" s="74" t="s">
        <v>12</v>
      </c>
      <c r="C4" s="52"/>
      <c r="D4" s="52" t="s">
        <v>10</v>
      </c>
      <c r="E4" s="178"/>
      <c r="F4" s="178"/>
      <c r="G4" s="178"/>
      <c r="H4" s="178"/>
      <c r="I4" s="180" t="s">
        <v>10</v>
      </c>
      <c r="J4" s="178" t="s">
        <v>10</v>
      </c>
      <c r="K4" s="178"/>
      <c r="L4" s="178"/>
      <c r="M4" s="178"/>
      <c r="N4" s="172"/>
      <c r="O4" s="52"/>
    </row>
    <row r="5" spans="1:15" x14ac:dyDescent="0.3">
      <c r="A5" s="50" t="s">
        <v>518</v>
      </c>
      <c r="B5" s="17"/>
      <c r="C5" s="52"/>
      <c r="D5" s="52"/>
      <c r="E5" s="181" t="s">
        <v>10</v>
      </c>
      <c r="F5" s="178"/>
      <c r="G5" s="178"/>
      <c r="H5" s="178"/>
      <c r="I5" s="180" t="s">
        <v>10</v>
      </c>
      <c r="J5" s="178" t="s">
        <v>10</v>
      </c>
      <c r="K5" s="178"/>
      <c r="L5" s="178"/>
      <c r="M5" s="178"/>
      <c r="N5" s="172"/>
      <c r="O5" s="52"/>
    </row>
    <row r="6" spans="1:15" x14ac:dyDescent="0.3">
      <c r="A6" s="51" t="s">
        <v>519</v>
      </c>
      <c r="B6" s="75">
        <v>12922</v>
      </c>
      <c r="C6" s="52"/>
      <c r="D6" s="52"/>
      <c r="E6" s="181"/>
      <c r="F6" s="178"/>
      <c r="G6" s="178"/>
      <c r="H6" s="178"/>
      <c r="I6" s="180"/>
      <c r="J6" s="178"/>
      <c r="K6" s="178"/>
      <c r="L6" s="178"/>
      <c r="M6" s="178"/>
      <c r="N6" s="172"/>
      <c r="O6" s="52"/>
    </row>
    <row r="7" spans="1:15" ht="15.6" x14ac:dyDescent="0.3">
      <c r="A7" s="77" t="s">
        <v>520</v>
      </c>
      <c r="B7" s="70">
        <f>SUM(B4:B5)-B6</f>
        <v>-12922</v>
      </c>
      <c r="C7" s="52"/>
      <c r="D7" s="52"/>
      <c r="E7" s="181"/>
      <c r="F7" s="178"/>
      <c r="G7" s="178"/>
      <c r="H7" s="178"/>
      <c r="I7" s="180"/>
      <c r="J7" s="178"/>
      <c r="K7" s="178"/>
      <c r="L7" s="178"/>
      <c r="M7" s="178"/>
      <c r="N7" s="172"/>
      <c r="O7" s="52"/>
    </row>
    <row r="8" spans="1:15" ht="46.8" x14ac:dyDescent="0.3">
      <c r="A8" s="77" t="s">
        <v>373</v>
      </c>
      <c r="B8" s="70">
        <v>17000</v>
      </c>
      <c r="C8" s="52"/>
      <c r="D8" s="52"/>
      <c r="E8" s="181"/>
      <c r="F8" s="178"/>
      <c r="G8" s="178"/>
      <c r="H8" s="178"/>
      <c r="I8" s="180"/>
      <c r="J8" s="178"/>
      <c r="K8" s="178"/>
      <c r="L8" s="178"/>
      <c r="M8" s="178"/>
      <c r="N8" s="172"/>
      <c r="O8" s="52"/>
    </row>
    <row r="9" spans="1:15" x14ac:dyDescent="0.3">
      <c r="A9" s="51" t="s">
        <v>521</v>
      </c>
      <c r="B9" s="70">
        <f>B7-B8</f>
        <v>-29922</v>
      </c>
      <c r="C9" s="52"/>
      <c r="D9" s="52"/>
      <c r="E9" s="178"/>
      <c r="F9" s="178"/>
      <c r="G9" s="178"/>
      <c r="H9" s="178"/>
      <c r="I9" s="178"/>
      <c r="J9" s="178"/>
      <c r="K9" s="178"/>
      <c r="L9" s="181">
        <f>Reconciliation!G21</f>
        <v>30185.360000000001</v>
      </c>
      <c r="M9" s="181">
        <f>L9-B9</f>
        <v>60107.360000000001</v>
      </c>
      <c r="N9" s="172"/>
      <c r="O9" s="52"/>
    </row>
    <row r="10" spans="1:15" x14ac:dyDescent="0.3">
      <c r="A10" s="51" t="s">
        <v>522</v>
      </c>
      <c r="B10" s="53">
        <v>1188</v>
      </c>
      <c r="C10" s="71"/>
      <c r="D10" s="52"/>
      <c r="E10" s="178"/>
      <c r="F10" s="178"/>
      <c r="G10" s="178"/>
      <c r="H10" s="178"/>
      <c r="I10" s="178"/>
      <c r="J10" s="178"/>
      <c r="K10" s="178"/>
      <c r="L10" s="178"/>
      <c r="M10" s="178"/>
      <c r="N10" s="172"/>
      <c r="O10" s="52"/>
    </row>
    <row r="11" spans="1:15" ht="28.8" x14ac:dyDescent="0.3">
      <c r="A11" s="50" t="s">
        <v>107</v>
      </c>
      <c r="B11" s="52"/>
      <c r="C11" s="71">
        <v>24500</v>
      </c>
      <c r="D11" s="52"/>
      <c r="E11" s="180" t="s">
        <v>10</v>
      </c>
      <c r="F11" s="178"/>
      <c r="G11" s="178"/>
      <c r="H11" s="178"/>
      <c r="I11" s="178"/>
      <c r="J11" s="178"/>
      <c r="K11" s="178"/>
      <c r="L11" s="182">
        <f>Receipts!D2+Receipts!D3+Receipts!D6+Receipts!D7</f>
        <v>13893.08</v>
      </c>
      <c r="M11" s="182">
        <f>L11-C11</f>
        <v>-10606.92</v>
      </c>
      <c r="N11" s="172"/>
      <c r="O11" s="52"/>
    </row>
    <row r="12" spans="1:15" x14ac:dyDescent="0.3">
      <c r="A12" s="50" t="s">
        <v>523</v>
      </c>
      <c r="B12" s="52">
        <v>312</v>
      </c>
      <c r="C12" s="71">
        <v>3750</v>
      </c>
      <c r="D12" s="52"/>
      <c r="E12" s="178"/>
      <c r="F12" s="178"/>
      <c r="G12" s="178"/>
      <c r="H12" s="178"/>
      <c r="I12" s="178"/>
      <c r="J12" s="178"/>
      <c r="K12" s="178"/>
      <c r="L12" s="178"/>
      <c r="M12" s="178"/>
      <c r="N12" s="172"/>
      <c r="O12" s="52"/>
    </row>
    <row r="13" spans="1:15" x14ac:dyDescent="0.3">
      <c r="A13" s="50" t="s">
        <v>524</v>
      </c>
      <c r="B13" s="52" t="s">
        <v>10</v>
      </c>
      <c r="C13" s="71">
        <v>1867</v>
      </c>
      <c r="D13" s="52"/>
      <c r="E13" s="178"/>
      <c r="F13" s="178"/>
      <c r="G13" s="178"/>
      <c r="H13" s="178"/>
      <c r="I13" s="178"/>
      <c r="J13" s="178"/>
      <c r="K13" s="178"/>
      <c r="L13" s="178">
        <f>Receipts!D4</f>
        <v>36.799999999999997</v>
      </c>
      <c r="M13" s="182">
        <f>L13-C13</f>
        <v>-1830.2</v>
      </c>
      <c r="N13" s="172"/>
      <c r="O13" s="52"/>
    </row>
    <row r="14" spans="1:15" x14ac:dyDescent="0.3">
      <c r="A14" s="51" t="s">
        <v>110</v>
      </c>
      <c r="B14" s="52"/>
      <c r="C14" s="72">
        <f>SUM(C11:C13)</f>
        <v>30117</v>
      </c>
      <c r="D14" s="52"/>
      <c r="E14" s="178"/>
      <c r="F14" s="178"/>
      <c r="G14" s="178"/>
      <c r="H14" s="178"/>
      <c r="I14" s="178"/>
      <c r="J14" s="178"/>
      <c r="K14" s="178"/>
      <c r="L14" s="183">
        <f>SUM(L11:L13)</f>
        <v>13929.88</v>
      </c>
      <c r="M14" s="182">
        <f>L14-C14</f>
        <v>-16187.12</v>
      </c>
      <c r="N14" s="172"/>
      <c r="O14" s="52"/>
    </row>
    <row r="15" spans="1:15" hidden="1" x14ac:dyDescent="0.3">
      <c r="A15" s="51" t="s">
        <v>525</v>
      </c>
      <c r="B15" s="52"/>
      <c r="C15" s="71"/>
      <c r="D15" s="52"/>
      <c r="E15" s="178"/>
      <c r="F15" s="178"/>
      <c r="G15" s="178"/>
      <c r="H15" s="178"/>
      <c r="I15" s="178"/>
      <c r="J15" s="178"/>
      <c r="K15" s="178"/>
      <c r="L15" s="181">
        <f>Reconciliation!G21</f>
        <v>30185.360000000001</v>
      </c>
      <c r="M15" s="182">
        <f>L15-C15</f>
        <v>30185.360000000001</v>
      </c>
      <c r="N15" s="172"/>
      <c r="O15" s="52"/>
    </row>
    <row r="16" spans="1:15" hidden="1" x14ac:dyDescent="0.3">
      <c r="A16" s="51" t="s">
        <v>526</v>
      </c>
      <c r="B16" s="52">
        <v>137.69999999999999</v>
      </c>
      <c r="C16" s="73"/>
      <c r="D16" s="52"/>
      <c r="E16" s="178"/>
      <c r="F16" s="178"/>
      <c r="G16" s="178"/>
      <c r="H16" s="178"/>
      <c r="I16" s="178"/>
      <c r="J16" s="178"/>
      <c r="K16" s="178"/>
      <c r="L16" s="184">
        <f>SUM(L14:L15)</f>
        <v>44115.24</v>
      </c>
      <c r="M16" s="181">
        <f>SUM(M9:M15)</f>
        <v>61668.480000000003</v>
      </c>
      <c r="N16" s="172"/>
      <c r="O16" s="52"/>
    </row>
    <row r="17" spans="1:15" ht="28.8" hidden="1" x14ac:dyDescent="0.3">
      <c r="A17" s="51" t="s">
        <v>377</v>
      </c>
      <c r="B17" s="52"/>
      <c r="C17" s="71"/>
      <c r="D17" s="52"/>
      <c r="E17" s="178"/>
      <c r="F17" s="178"/>
      <c r="G17" s="178"/>
      <c r="H17" s="178"/>
      <c r="I17" s="178"/>
      <c r="J17" s="178"/>
      <c r="K17" s="178"/>
      <c r="L17" s="178"/>
      <c r="M17" s="178"/>
      <c r="N17" s="172"/>
      <c r="O17" s="52"/>
    </row>
    <row r="18" spans="1:15" ht="43.8" hidden="1" thickBot="1" x14ac:dyDescent="0.35">
      <c r="A18" s="51" t="s">
        <v>378</v>
      </c>
      <c r="B18" s="52"/>
      <c r="C18" s="76"/>
      <c r="D18" s="52"/>
      <c r="E18" s="178"/>
      <c r="F18" s="178"/>
      <c r="G18" s="178"/>
      <c r="H18" s="178"/>
      <c r="I18" s="178"/>
      <c r="J18" s="178"/>
      <c r="K18" s="178"/>
      <c r="L18" s="178"/>
      <c r="M18" s="178"/>
      <c r="N18" s="172"/>
      <c r="O18" s="52"/>
    </row>
    <row r="19" spans="1:15" ht="18" x14ac:dyDescent="0.35">
      <c r="A19" s="78"/>
      <c r="B19" s="55"/>
      <c r="C19" s="71"/>
      <c r="D19" s="52"/>
      <c r="E19" s="178"/>
      <c r="F19" s="178"/>
      <c r="G19" s="178"/>
      <c r="H19" s="178"/>
      <c r="I19" s="178"/>
      <c r="J19" s="178"/>
      <c r="K19" s="178"/>
      <c r="L19" s="178"/>
      <c r="M19" s="178"/>
      <c r="N19" s="172"/>
      <c r="O19" s="52"/>
    </row>
    <row r="20" spans="1:15" ht="18" hidden="1" x14ac:dyDescent="0.35">
      <c r="A20" s="79"/>
      <c r="B20" s="29"/>
      <c r="C20" s="52"/>
      <c r="D20" s="52"/>
      <c r="E20" s="178"/>
      <c r="F20" s="178"/>
      <c r="G20" s="178"/>
      <c r="H20" s="178"/>
      <c r="I20" s="178"/>
      <c r="J20" s="178"/>
      <c r="K20" s="178"/>
      <c r="L20" s="178"/>
      <c r="M20" s="178"/>
      <c r="N20" s="172"/>
      <c r="O20" s="52"/>
    </row>
    <row r="21" spans="1:15" x14ac:dyDescent="0.3">
      <c r="A21" s="50"/>
      <c r="B21" s="52"/>
      <c r="C21" s="52"/>
      <c r="D21" s="52"/>
      <c r="E21" s="178"/>
      <c r="F21" s="178"/>
      <c r="G21" s="178"/>
      <c r="H21" s="178"/>
      <c r="I21" s="178"/>
      <c r="J21" s="178"/>
      <c r="K21" s="178"/>
      <c r="L21" s="178"/>
      <c r="M21" s="178"/>
      <c r="N21" s="172"/>
      <c r="O21" s="52"/>
    </row>
    <row r="22" spans="1:15" x14ac:dyDescent="0.3">
      <c r="A22" s="51" t="s">
        <v>113</v>
      </c>
      <c r="B22" s="52"/>
      <c r="C22" s="52"/>
      <c r="D22" s="52"/>
      <c r="E22" s="178"/>
      <c r="F22" s="178"/>
      <c r="G22" s="178"/>
      <c r="H22" s="178"/>
      <c r="I22" s="178"/>
      <c r="J22" s="178"/>
      <c r="K22" s="178"/>
      <c r="L22" s="178"/>
      <c r="M22" s="178"/>
      <c r="N22" s="172"/>
      <c r="O22" s="52"/>
    </row>
    <row r="23" spans="1:15" x14ac:dyDescent="0.3">
      <c r="A23" s="51" t="s">
        <v>114</v>
      </c>
      <c r="B23" s="52"/>
      <c r="C23" s="52"/>
      <c r="D23" s="52"/>
      <c r="E23" s="178"/>
      <c r="F23" s="178"/>
      <c r="G23" s="178"/>
      <c r="H23" s="178"/>
      <c r="I23" s="178"/>
      <c r="J23" s="178"/>
      <c r="K23" s="178"/>
      <c r="L23" s="178"/>
      <c r="M23" s="178"/>
      <c r="N23" s="172"/>
      <c r="O23" s="52"/>
    </row>
    <row r="24" spans="1:15" x14ac:dyDescent="0.3">
      <c r="A24" s="50" t="s">
        <v>115</v>
      </c>
      <c r="B24" s="52"/>
      <c r="C24" s="52" t="s">
        <v>206</v>
      </c>
      <c r="D24" s="52"/>
      <c r="E24" s="178">
        <v>9360</v>
      </c>
      <c r="F24" s="185">
        <v>3305</v>
      </c>
      <c r="G24" s="178">
        <v>2360</v>
      </c>
      <c r="H24" s="178">
        <f t="shared" ref="H24:I90" si="0">SUM(E24-(F24+G24))</f>
        <v>3695</v>
      </c>
      <c r="I24" s="178"/>
      <c r="J24" s="178">
        <v>7904</v>
      </c>
      <c r="K24" s="178"/>
      <c r="L24" s="182">
        <f>Payments!M103</f>
        <v>0</v>
      </c>
      <c r="M24" s="58"/>
      <c r="N24" s="172">
        <v>8900</v>
      </c>
      <c r="O24" s="52" t="s">
        <v>369</v>
      </c>
    </row>
    <row r="25" spans="1:15" x14ac:dyDescent="0.3">
      <c r="A25" s="37" t="s">
        <v>233</v>
      </c>
      <c r="B25" s="52"/>
      <c r="C25" s="52"/>
      <c r="D25" s="52"/>
      <c r="E25" s="178">
        <v>1500</v>
      </c>
      <c r="F25" s="185">
        <f>Payments!Z3+Payments!Z8+Payments!Z12+Payments!Z17+Payments!Z31</f>
        <v>2287.7439999999997</v>
      </c>
      <c r="G25" s="178">
        <v>36</v>
      </c>
      <c r="H25" s="178">
        <f t="shared" si="0"/>
        <v>-823.74399999999969</v>
      </c>
      <c r="I25" s="178"/>
      <c r="J25" s="178">
        <v>0</v>
      </c>
      <c r="K25" s="178"/>
      <c r="L25" s="178"/>
      <c r="M25" s="58"/>
      <c r="N25" s="172"/>
      <c r="O25" s="52"/>
    </row>
    <row r="26" spans="1:15" x14ac:dyDescent="0.3">
      <c r="A26" s="50" t="s">
        <v>117</v>
      </c>
      <c r="B26" s="52"/>
      <c r="C26" s="52"/>
      <c r="D26" s="52"/>
      <c r="E26" s="178">
        <v>1188</v>
      </c>
      <c r="F26" s="185">
        <v>911.15</v>
      </c>
      <c r="G26" s="178">
        <v>600</v>
      </c>
      <c r="H26" s="178">
        <f t="shared" si="0"/>
        <v>-323.15000000000009</v>
      </c>
      <c r="I26" s="178"/>
      <c r="J26" s="178">
        <v>1976</v>
      </c>
      <c r="K26" s="178"/>
      <c r="L26" s="182">
        <f>Payments!N103</f>
        <v>0</v>
      </c>
      <c r="M26" s="58"/>
      <c r="N26" s="172">
        <v>2080</v>
      </c>
      <c r="O26" s="52"/>
    </row>
    <row r="27" spans="1:15" ht="28.8" x14ac:dyDescent="0.3">
      <c r="A27" s="50" t="s">
        <v>118</v>
      </c>
      <c r="B27" s="52"/>
      <c r="C27" s="52"/>
      <c r="D27" s="52"/>
      <c r="E27" s="178">
        <v>31</v>
      </c>
      <c r="F27" s="178">
        <v>0</v>
      </c>
      <c r="G27" s="178">
        <v>0</v>
      </c>
      <c r="H27" s="178">
        <f t="shared" si="0"/>
        <v>31</v>
      </c>
      <c r="I27" s="178"/>
      <c r="J27" s="58">
        <v>35</v>
      </c>
      <c r="K27" s="178"/>
      <c r="L27" s="178"/>
      <c r="M27" s="58"/>
      <c r="N27" s="172"/>
      <c r="O27" s="52"/>
    </row>
    <row r="28" spans="1:15" ht="28.8" x14ac:dyDescent="0.3">
      <c r="A28" s="50" t="s">
        <v>119</v>
      </c>
      <c r="B28" s="52" t="s">
        <v>207</v>
      </c>
      <c r="C28" s="52"/>
      <c r="D28" s="52"/>
      <c r="E28" s="178">
        <v>280</v>
      </c>
      <c r="F28" s="185"/>
      <c r="G28" s="178">
        <v>0</v>
      </c>
      <c r="H28" s="178">
        <v>120</v>
      </c>
      <c r="I28" s="178"/>
      <c r="J28" s="178">
        <v>318</v>
      </c>
      <c r="K28" s="178"/>
      <c r="L28" s="178"/>
      <c r="M28" s="58"/>
      <c r="N28" s="172">
        <v>318</v>
      </c>
      <c r="O28" s="52"/>
    </row>
    <row r="29" spans="1:15" x14ac:dyDescent="0.3">
      <c r="A29" s="50" t="s">
        <v>120</v>
      </c>
      <c r="B29" s="52"/>
      <c r="C29" s="52"/>
      <c r="D29" s="52"/>
      <c r="E29" s="178">
        <v>350</v>
      </c>
      <c r="F29" s="185">
        <v>330</v>
      </c>
      <c r="G29" s="178">
        <v>0</v>
      </c>
      <c r="H29" s="178">
        <f t="shared" si="0"/>
        <v>20</v>
      </c>
      <c r="I29" s="178"/>
      <c r="J29" s="58">
        <v>350</v>
      </c>
      <c r="K29" s="178"/>
      <c r="L29" s="182">
        <v>30</v>
      </c>
      <c r="M29" s="58"/>
      <c r="N29" s="173">
        <v>700</v>
      </c>
      <c r="O29" s="52" t="s">
        <v>371</v>
      </c>
    </row>
    <row r="30" spans="1:15" x14ac:dyDescent="0.3">
      <c r="A30" s="50" t="s">
        <v>121</v>
      </c>
      <c r="B30" s="52"/>
      <c r="C30" s="52"/>
      <c r="D30" s="52"/>
      <c r="E30" s="178">
        <v>200</v>
      </c>
      <c r="F30" s="178"/>
      <c r="G30" s="178">
        <v>0</v>
      </c>
      <c r="H30" s="178">
        <f t="shared" si="0"/>
        <v>200</v>
      </c>
      <c r="I30" s="178"/>
      <c r="J30" s="58">
        <v>55</v>
      </c>
      <c r="K30" s="58"/>
      <c r="L30" s="178"/>
      <c r="M30" s="58"/>
      <c r="N30" s="172"/>
      <c r="O30" s="52"/>
    </row>
    <row r="31" spans="1:15" x14ac:dyDescent="0.3">
      <c r="A31" s="50" t="s">
        <v>122</v>
      </c>
      <c r="B31" s="52"/>
      <c r="C31" s="52"/>
      <c r="D31" s="52"/>
      <c r="E31" s="178">
        <v>50</v>
      </c>
      <c r="F31" s="185">
        <v>111.14</v>
      </c>
      <c r="G31" s="178">
        <v>0</v>
      </c>
      <c r="H31" s="178">
        <f t="shared" si="0"/>
        <v>-61.14</v>
      </c>
      <c r="I31" s="178"/>
      <c r="J31" s="58">
        <v>50</v>
      </c>
      <c r="K31" s="178"/>
      <c r="L31" s="182">
        <f>Payments!I103</f>
        <v>0</v>
      </c>
      <c r="M31" s="58"/>
      <c r="N31" s="173">
        <v>35</v>
      </c>
      <c r="O31" s="52"/>
    </row>
    <row r="32" spans="1:15" x14ac:dyDescent="0.3">
      <c r="A32" s="50" t="s">
        <v>123</v>
      </c>
      <c r="B32" s="52"/>
      <c r="C32" s="52"/>
      <c r="D32" s="52"/>
      <c r="E32" s="178">
        <v>250</v>
      </c>
      <c r="F32" s="185">
        <f>Payments!Z36</f>
        <v>77.328000000000003</v>
      </c>
      <c r="G32" s="178">
        <v>80</v>
      </c>
      <c r="H32" s="178">
        <f t="shared" si="0"/>
        <v>92.671999999999997</v>
      </c>
      <c r="I32" s="178"/>
      <c r="J32" s="58">
        <v>250</v>
      </c>
      <c r="K32" s="178"/>
      <c r="L32" s="178"/>
      <c r="M32" s="58"/>
      <c r="N32" s="173">
        <v>135</v>
      </c>
      <c r="O32" s="52"/>
    </row>
    <row r="33" spans="1:15" x14ac:dyDescent="0.3">
      <c r="A33" s="50" t="s">
        <v>124</v>
      </c>
      <c r="B33" s="52"/>
      <c r="C33" s="52"/>
      <c r="D33" s="52"/>
      <c r="E33" s="178">
        <v>0</v>
      </c>
      <c r="F33" s="178">
        <v>0</v>
      </c>
      <c r="G33" s="178">
        <v>120</v>
      </c>
      <c r="H33" s="178">
        <f t="shared" si="0"/>
        <v>-120</v>
      </c>
      <c r="I33" s="178"/>
      <c r="J33" s="58">
        <v>100</v>
      </c>
      <c r="K33" s="178"/>
      <c r="L33" s="178"/>
      <c r="M33" s="58"/>
      <c r="N33" s="173">
        <v>120</v>
      </c>
      <c r="O33" s="52" t="s">
        <v>370</v>
      </c>
    </row>
    <row r="34" spans="1:15" x14ac:dyDescent="0.3">
      <c r="A34" s="50" t="s">
        <v>125</v>
      </c>
      <c r="B34" s="52"/>
      <c r="C34" s="52"/>
      <c r="D34" s="52"/>
      <c r="E34" s="178">
        <v>300</v>
      </c>
      <c r="F34" s="185">
        <f>Payments!Z6</f>
        <v>76.788000000000011</v>
      </c>
      <c r="G34" s="178">
        <v>66</v>
      </c>
      <c r="H34" s="178">
        <f t="shared" si="0"/>
        <v>157.21199999999999</v>
      </c>
      <c r="I34" s="178"/>
      <c r="J34" s="58">
        <v>500</v>
      </c>
      <c r="K34" s="178"/>
      <c r="L34" s="182">
        <v>130</v>
      </c>
      <c r="M34" s="58"/>
      <c r="N34" s="173">
        <v>300</v>
      </c>
      <c r="O34" s="52"/>
    </row>
    <row r="35" spans="1:15" ht="28.8" x14ac:dyDescent="0.3">
      <c r="A35" s="50" t="s">
        <v>126</v>
      </c>
      <c r="B35" s="52"/>
      <c r="C35" s="52"/>
      <c r="D35" s="52"/>
      <c r="E35" s="178">
        <v>1000</v>
      </c>
      <c r="F35" s="185">
        <f>Payments!Z10</f>
        <v>45.108000000000004</v>
      </c>
      <c r="G35" s="178">
        <v>0</v>
      </c>
      <c r="H35" s="178">
        <f t="shared" si="0"/>
        <v>954.89200000000005</v>
      </c>
      <c r="I35" s="178"/>
      <c r="J35" s="58">
        <v>1250</v>
      </c>
      <c r="K35" s="178"/>
      <c r="L35" s="178">
        <v>908.48</v>
      </c>
      <c r="M35" s="58"/>
      <c r="N35" s="173">
        <v>1200</v>
      </c>
      <c r="O35" s="52"/>
    </row>
    <row r="36" spans="1:15" x14ac:dyDescent="0.3">
      <c r="A36" s="50" t="s">
        <v>127</v>
      </c>
      <c r="B36" s="52"/>
      <c r="C36" s="52"/>
      <c r="D36" s="52"/>
      <c r="E36" s="178">
        <v>0</v>
      </c>
      <c r="F36" s="178">
        <v>0</v>
      </c>
      <c r="G36" s="178">
        <f t="shared" ref="G36:G37" si="1">SUM(E36-F36)</f>
        <v>0</v>
      </c>
      <c r="H36" s="178">
        <f t="shared" si="0"/>
        <v>0</v>
      </c>
      <c r="I36" s="178"/>
      <c r="J36" s="178"/>
      <c r="K36" s="178"/>
      <c r="L36" s="178"/>
      <c r="M36" s="178"/>
      <c r="N36" s="172"/>
      <c r="O36" s="52"/>
    </row>
    <row r="37" spans="1:15" x14ac:dyDescent="0.3">
      <c r="A37" s="50" t="s">
        <v>128</v>
      </c>
      <c r="B37" s="52"/>
      <c r="C37" s="52"/>
      <c r="D37" s="52"/>
      <c r="E37" s="178">
        <v>80</v>
      </c>
      <c r="F37" s="178">
        <v>0</v>
      </c>
      <c r="G37" s="178">
        <f t="shared" si="1"/>
        <v>80</v>
      </c>
      <c r="H37" s="178">
        <f t="shared" si="0"/>
        <v>0</v>
      </c>
      <c r="I37" s="178"/>
      <c r="J37" s="58">
        <v>80</v>
      </c>
      <c r="K37" s="178"/>
      <c r="L37" s="178"/>
      <c r="M37" s="178"/>
      <c r="N37" s="172">
        <v>85</v>
      </c>
      <c r="O37" s="52"/>
    </row>
    <row r="38" spans="1:15" x14ac:dyDescent="0.3">
      <c r="A38" s="50" t="s">
        <v>129</v>
      </c>
      <c r="B38" s="52"/>
      <c r="C38" s="52"/>
      <c r="D38" s="52"/>
      <c r="E38" s="178">
        <v>25</v>
      </c>
      <c r="F38" s="178">
        <v>0</v>
      </c>
      <c r="G38" s="178">
        <v>40</v>
      </c>
      <c r="H38" s="178">
        <f t="shared" si="0"/>
        <v>-15</v>
      </c>
      <c r="I38" s="178"/>
      <c r="J38" s="58">
        <v>30</v>
      </c>
      <c r="K38" s="178"/>
      <c r="L38" s="178"/>
      <c r="M38" s="178"/>
      <c r="N38" s="172">
        <v>45</v>
      </c>
      <c r="O38" s="52"/>
    </row>
    <row r="39" spans="1:15" x14ac:dyDescent="0.3">
      <c r="A39" s="50" t="s">
        <v>243</v>
      </c>
      <c r="B39" s="52"/>
      <c r="C39" s="52"/>
      <c r="D39" s="52"/>
      <c r="E39" s="178">
        <v>200</v>
      </c>
      <c r="F39" s="178">
        <v>0</v>
      </c>
      <c r="G39" s="178">
        <v>200</v>
      </c>
      <c r="H39" s="178">
        <f t="shared" si="0"/>
        <v>0</v>
      </c>
      <c r="I39" s="178"/>
      <c r="J39" s="178">
        <v>200</v>
      </c>
      <c r="K39" s="178"/>
      <c r="L39" s="178"/>
      <c r="M39" s="178"/>
      <c r="N39" s="172">
        <v>200</v>
      </c>
      <c r="O39" s="52"/>
    </row>
    <row r="40" spans="1:15" x14ac:dyDescent="0.3">
      <c r="A40" s="50"/>
      <c r="B40" s="52"/>
      <c r="C40" s="52"/>
      <c r="D40" s="52"/>
      <c r="E40" s="178"/>
      <c r="F40" s="178"/>
      <c r="G40" s="178"/>
      <c r="H40" s="178">
        <f t="shared" si="0"/>
        <v>0</v>
      </c>
      <c r="I40" s="178"/>
      <c r="J40" s="178"/>
      <c r="K40" s="178"/>
      <c r="L40" s="178"/>
      <c r="M40" s="178"/>
      <c r="N40" s="172"/>
      <c r="O40" s="52"/>
    </row>
    <row r="41" spans="1:15" x14ac:dyDescent="0.3">
      <c r="A41" s="51" t="s">
        <v>168</v>
      </c>
      <c r="B41" s="52"/>
      <c r="C41" s="52"/>
      <c r="D41" s="52"/>
      <c r="E41" s="178"/>
      <c r="F41" s="178"/>
      <c r="G41" s="178"/>
      <c r="H41" s="178">
        <f t="shared" si="0"/>
        <v>0</v>
      </c>
      <c r="I41" s="178"/>
      <c r="J41" s="178"/>
      <c r="K41" s="178"/>
      <c r="L41" s="178"/>
      <c r="M41" s="178"/>
      <c r="N41" s="172"/>
      <c r="O41" s="52"/>
    </row>
    <row r="42" spans="1:15" x14ac:dyDescent="0.3">
      <c r="A42" s="50" t="s">
        <v>132</v>
      </c>
      <c r="B42" s="52"/>
      <c r="C42" s="52"/>
      <c r="D42" s="52"/>
      <c r="E42" s="178">
        <v>240</v>
      </c>
      <c r="F42" s="185">
        <f>SUM(Payments!Z22:Z29)</f>
        <v>1057.5619999999999</v>
      </c>
      <c r="G42" s="178">
        <v>0</v>
      </c>
      <c r="H42" s="178">
        <f t="shared" si="0"/>
        <v>-817.5619999999999</v>
      </c>
      <c r="I42" s="178"/>
      <c r="J42" s="178">
        <v>240</v>
      </c>
      <c r="K42" s="178" t="s">
        <v>215</v>
      </c>
      <c r="L42" s="182">
        <f>Payments!U103</f>
        <v>0</v>
      </c>
      <c r="M42" s="178"/>
      <c r="N42" s="172">
        <v>240</v>
      </c>
      <c r="O42" s="52"/>
    </row>
    <row r="43" spans="1:15" x14ac:dyDescent="0.3">
      <c r="A43" s="37" t="s">
        <v>234</v>
      </c>
      <c r="B43" s="52"/>
      <c r="C43" s="52"/>
      <c r="D43" s="52"/>
      <c r="E43" s="178">
        <v>350</v>
      </c>
      <c r="F43" s="185">
        <f>Payments!Z4</f>
        <v>180</v>
      </c>
      <c r="G43" s="178">
        <v>0</v>
      </c>
      <c r="H43" s="178">
        <f t="shared" si="0"/>
        <v>170</v>
      </c>
      <c r="I43" s="178"/>
      <c r="J43" s="178">
        <v>250</v>
      </c>
      <c r="K43" s="178"/>
      <c r="L43" s="178"/>
      <c r="M43" s="178"/>
      <c r="N43" s="172">
        <v>250</v>
      </c>
      <c r="O43" s="52"/>
    </row>
    <row r="44" spans="1:15" ht="28.8" x14ac:dyDescent="0.3">
      <c r="A44" s="50" t="s">
        <v>134</v>
      </c>
      <c r="B44" s="52"/>
      <c r="C44" s="52"/>
      <c r="D44" s="52"/>
      <c r="E44" s="178">
        <v>120</v>
      </c>
      <c r="F44" s="185">
        <f>Payments!Z34</f>
        <v>350</v>
      </c>
      <c r="G44" s="178">
        <v>0</v>
      </c>
      <c r="H44" s="178">
        <f t="shared" si="0"/>
        <v>-230</v>
      </c>
      <c r="I44" s="178"/>
      <c r="J44" s="178">
        <v>120</v>
      </c>
      <c r="K44" s="178"/>
      <c r="L44" s="178"/>
      <c r="M44" s="178"/>
      <c r="N44" s="172">
        <v>85</v>
      </c>
      <c r="O44" s="52"/>
    </row>
    <row r="45" spans="1:15" ht="28.8" x14ac:dyDescent="0.3">
      <c r="A45" s="37" t="s">
        <v>235</v>
      </c>
      <c r="B45" s="52"/>
      <c r="C45" s="52"/>
      <c r="D45" s="52"/>
      <c r="E45" s="178">
        <v>300</v>
      </c>
      <c r="F45" s="178">
        <v>0</v>
      </c>
      <c r="G45" s="178">
        <v>120</v>
      </c>
      <c r="H45" s="178">
        <f t="shared" si="0"/>
        <v>180</v>
      </c>
      <c r="I45" s="178"/>
      <c r="J45" s="58">
        <v>330</v>
      </c>
      <c r="K45" s="178" t="s">
        <v>212</v>
      </c>
      <c r="L45" s="178"/>
      <c r="M45" s="178"/>
      <c r="N45" s="172">
        <v>300</v>
      </c>
      <c r="O45" s="52"/>
    </row>
    <row r="46" spans="1:15" ht="28.8" x14ac:dyDescent="0.3">
      <c r="A46" s="50" t="s">
        <v>136</v>
      </c>
      <c r="B46" s="52"/>
      <c r="C46" s="52"/>
      <c r="D46" s="52"/>
      <c r="E46" s="178">
        <v>500</v>
      </c>
      <c r="F46" s="185" t="e">
        <f>Payments!#REF!</f>
        <v>#REF!</v>
      </c>
      <c r="G46" s="178">
        <v>150</v>
      </c>
      <c r="H46" s="178" t="e">
        <f t="shared" si="0"/>
        <v>#REF!</v>
      </c>
      <c r="I46" s="178"/>
      <c r="J46" s="58">
        <v>500</v>
      </c>
      <c r="K46" s="178"/>
      <c r="L46" s="182">
        <f>Payments!T103</f>
        <v>0</v>
      </c>
      <c r="M46" s="178"/>
      <c r="N46" s="172">
        <v>1200</v>
      </c>
      <c r="O46" s="52"/>
    </row>
    <row r="47" spans="1:15" x14ac:dyDescent="0.3">
      <c r="A47" s="37" t="s">
        <v>236</v>
      </c>
      <c r="B47" s="52"/>
      <c r="C47" s="52"/>
      <c r="D47" s="52"/>
      <c r="E47" s="178">
        <v>500</v>
      </c>
      <c r="F47" s="178">
        <v>0</v>
      </c>
      <c r="G47" s="178">
        <f t="shared" ref="G47:G53" si="2">SUM(E47-F47)</f>
        <v>500</v>
      </c>
      <c r="H47" s="178">
        <f t="shared" si="0"/>
        <v>0</v>
      </c>
      <c r="I47" s="178"/>
      <c r="J47" s="58">
        <v>550</v>
      </c>
      <c r="K47" s="178"/>
      <c r="L47" s="178"/>
      <c r="M47" s="178"/>
      <c r="N47" s="172">
        <v>300</v>
      </c>
      <c r="O47" s="52"/>
    </row>
    <row r="48" spans="1:15" ht="28.8" x14ac:dyDescent="0.3">
      <c r="A48" s="37" t="s">
        <v>237</v>
      </c>
      <c r="B48" s="52"/>
      <c r="C48" s="52"/>
      <c r="D48" s="52"/>
      <c r="E48" s="178">
        <v>500</v>
      </c>
      <c r="F48" s="178">
        <v>0</v>
      </c>
      <c r="G48" s="178">
        <f t="shared" si="2"/>
        <v>500</v>
      </c>
      <c r="H48" s="178">
        <f t="shared" si="0"/>
        <v>0</v>
      </c>
      <c r="I48" s="178"/>
      <c r="J48" s="58">
        <v>500</v>
      </c>
      <c r="K48" s="178"/>
      <c r="L48" s="178"/>
      <c r="M48" s="178"/>
      <c r="N48" s="172">
        <v>600</v>
      </c>
      <c r="O48" s="52"/>
    </row>
    <row r="49" spans="1:15" ht="28.8" x14ac:dyDescent="0.3">
      <c r="A49" s="50" t="s">
        <v>139</v>
      </c>
      <c r="B49" s="52"/>
      <c r="C49" s="52"/>
      <c r="D49" s="52"/>
      <c r="E49" s="178">
        <v>1000</v>
      </c>
      <c r="F49" s="178">
        <v>0</v>
      </c>
      <c r="G49" s="178">
        <v>0</v>
      </c>
      <c r="H49" s="178">
        <f t="shared" si="0"/>
        <v>1000</v>
      </c>
      <c r="I49" s="178"/>
      <c r="J49" s="58">
        <v>500</v>
      </c>
      <c r="K49" s="178"/>
      <c r="L49" s="178"/>
      <c r="M49" s="178"/>
      <c r="N49" s="172">
        <v>500</v>
      </c>
      <c r="O49" s="52"/>
    </row>
    <row r="50" spans="1:15" x14ac:dyDescent="0.3">
      <c r="A50" s="50" t="s">
        <v>140</v>
      </c>
      <c r="B50" s="52"/>
      <c r="C50" s="52"/>
      <c r="D50" s="52"/>
      <c r="E50" s="178">
        <v>500</v>
      </c>
      <c r="F50" s="178">
        <v>0</v>
      </c>
      <c r="G50" s="178">
        <v>0</v>
      </c>
      <c r="H50" s="178">
        <f t="shared" si="0"/>
        <v>500</v>
      </c>
      <c r="I50" s="178"/>
      <c r="J50" s="58">
        <v>240</v>
      </c>
      <c r="K50" s="178"/>
      <c r="L50" s="178"/>
      <c r="M50" s="178"/>
      <c r="N50" s="172">
        <v>500</v>
      </c>
      <c r="O50" s="52"/>
    </row>
    <row r="51" spans="1:15" x14ac:dyDescent="0.3">
      <c r="A51" s="50" t="s">
        <v>141</v>
      </c>
      <c r="B51" s="52"/>
      <c r="C51" s="52"/>
      <c r="D51" s="52"/>
      <c r="E51" s="178">
        <v>350</v>
      </c>
      <c r="F51" s="178">
        <v>0</v>
      </c>
      <c r="G51" s="178">
        <f t="shared" si="2"/>
        <v>350</v>
      </c>
      <c r="H51" s="178">
        <f t="shared" si="0"/>
        <v>0</v>
      </c>
      <c r="I51" s="178"/>
      <c r="J51" s="58">
        <v>350</v>
      </c>
      <c r="K51" s="178" t="s">
        <v>214</v>
      </c>
      <c r="L51" s="178"/>
      <c r="M51" s="178"/>
      <c r="N51" s="172">
        <v>360</v>
      </c>
      <c r="O51" s="52"/>
    </row>
    <row r="52" spans="1:15" x14ac:dyDescent="0.3">
      <c r="A52" s="50" t="s">
        <v>11</v>
      </c>
      <c r="B52" s="52"/>
      <c r="C52" s="52"/>
      <c r="D52" s="52"/>
      <c r="E52" s="178">
        <v>500</v>
      </c>
      <c r="F52" s="185">
        <v>231.96</v>
      </c>
      <c r="G52" s="178">
        <f t="shared" si="2"/>
        <v>268.03999999999996</v>
      </c>
      <c r="H52" s="178">
        <f t="shared" si="0"/>
        <v>0</v>
      </c>
      <c r="I52" s="178"/>
      <c r="J52" s="58">
        <v>550</v>
      </c>
      <c r="K52" s="178" t="s">
        <v>212</v>
      </c>
      <c r="L52" s="182">
        <f>Payments!S103</f>
        <v>0</v>
      </c>
      <c r="M52" s="178"/>
      <c r="N52" s="172">
        <v>1750</v>
      </c>
      <c r="O52" s="52" t="s">
        <v>366</v>
      </c>
    </row>
    <row r="53" spans="1:15" x14ac:dyDescent="0.3">
      <c r="A53" s="50" t="s">
        <v>142</v>
      </c>
      <c r="B53" s="52"/>
      <c r="C53" s="52"/>
      <c r="D53" s="52"/>
      <c r="E53" s="178">
        <v>76</v>
      </c>
      <c r="F53" s="185">
        <f>Payments!Z19</f>
        <v>733.66</v>
      </c>
      <c r="G53" s="178">
        <f t="shared" si="2"/>
        <v>-657.66</v>
      </c>
      <c r="H53" s="178">
        <f t="shared" si="0"/>
        <v>0</v>
      </c>
      <c r="I53" s="178"/>
      <c r="J53" s="58">
        <v>76</v>
      </c>
      <c r="K53" s="178"/>
      <c r="L53" s="178"/>
      <c r="M53" s="178"/>
      <c r="N53" s="172"/>
      <c r="O53" s="52"/>
    </row>
    <row r="54" spans="1:15" x14ac:dyDescent="0.3">
      <c r="A54" s="37" t="s">
        <v>202</v>
      </c>
      <c r="B54" s="52"/>
      <c r="C54" s="52"/>
      <c r="D54" s="52"/>
      <c r="E54" s="178"/>
      <c r="F54" s="178"/>
      <c r="G54" s="178"/>
      <c r="H54" s="178">
        <f t="shared" si="0"/>
        <v>0</v>
      </c>
      <c r="I54" s="178"/>
      <c r="J54" s="178"/>
      <c r="K54" s="178"/>
      <c r="L54" s="178"/>
      <c r="M54" s="178"/>
      <c r="N54" s="172"/>
      <c r="O54" s="52"/>
    </row>
    <row r="55" spans="1:15" x14ac:dyDescent="0.3">
      <c r="A55" s="37"/>
      <c r="B55" s="52"/>
      <c r="C55" s="52"/>
      <c r="D55" s="52"/>
      <c r="E55" s="178"/>
      <c r="F55" s="178"/>
      <c r="G55" s="178"/>
      <c r="H55" s="178"/>
      <c r="I55" s="178"/>
      <c r="J55" s="178"/>
      <c r="K55" s="178"/>
      <c r="L55" s="178"/>
      <c r="M55" s="178"/>
      <c r="N55" s="172"/>
      <c r="O55" s="52"/>
    </row>
    <row r="56" spans="1:15" x14ac:dyDescent="0.3">
      <c r="A56" s="51" t="s">
        <v>143</v>
      </c>
      <c r="B56" s="52"/>
      <c r="C56" s="52"/>
      <c r="D56" s="52"/>
      <c r="E56" s="178"/>
      <c r="F56" s="178"/>
      <c r="G56" s="178"/>
      <c r="H56" s="178">
        <f t="shared" si="0"/>
        <v>0</v>
      </c>
      <c r="I56" s="178"/>
      <c r="J56" s="178"/>
      <c r="K56" s="178"/>
      <c r="L56" s="178"/>
      <c r="M56" s="178"/>
      <c r="N56" s="172"/>
      <c r="O56" s="52"/>
    </row>
    <row r="57" spans="1:15" x14ac:dyDescent="0.3">
      <c r="A57" s="50" t="s">
        <v>14</v>
      </c>
      <c r="B57" s="52"/>
      <c r="C57" s="52"/>
      <c r="D57" s="52"/>
      <c r="E57" s="178">
        <v>750</v>
      </c>
      <c r="F57" s="185">
        <f>Payments!Z9</f>
        <v>29.89</v>
      </c>
      <c r="G57" s="178">
        <f>SUM(E57-F57)</f>
        <v>720.11</v>
      </c>
      <c r="H57" s="178">
        <f t="shared" si="0"/>
        <v>0</v>
      </c>
      <c r="I57" s="178"/>
      <c r="J57" s="58">
        <v>800</v>
      </c>
      <c r="K57" s="178"/>
      <c r="L57" s="178"/>
      <c r="M57" s="178"/>
      <c r="N57" s="172">
        <v>0</v>
      </c>
      <c r="O57" s="52"/>
    </row>
    <row r="58" spans="1:15" x14ac:dyDescent="0.3">
      <c r="A58" s="50"/>
      <c r="B58" s="52"/>
      <c r="C58" s="52"/>
      <c r="D58" s="52"/>
      <c r="E58" s="178"/>
      <c r="F58" s="178"/>
      <c r="G58" s="178"/>
      <c r="H58" s="178">
        <f t="shared" si="0"/>
        <v>0</v>
      </c>
      <c r="I58" s="178"/>
      <c r="J58" s="178"/>
      <c r="K58" s="178"/>
      <c r="L58" s="178"/>
      <c r="M58" s="178"/>
      <c r="N58" s="172"/>
      <c r="O58" s="52"/>
    </row>
    <row r="59" spans="1:15" x14ac:dyDescent="0.3">
      <c r="A59" s="51" t="s">
        <v>144</v>
      </c>
      <c r="B59" s="52"/>
      <c r="C59" s="52"/>
      <c r="D59" s="52"/>
      <c r="E59" s="178"/>
      <c r="F59" s="178"/>
      <c r="G59" s="178"/>
      <c r="H59" s="178">
        <f t="shared" si="0"/>
        <v>0</v>
      </c>
      <c r="I59" s="178"/>
      <c r="J59" s="178"/>
      <c r="K59" s="178"/>
      <c r="L59" s="178"/>
      <c r="M59" s="178"/>
      <c r="N59" s="172"/>
      <c r="O59" s="52"/>
    </row>
    <row r="60" spans="1:15" x14ac:dyDescent="0.3">
      <c r="A60" s="50" t="s">
        <v>145</v>
      </c>
      <c r="B60" s="52"/>
      <c r="C60" s="52"/>
      <c r="D60" s="52"/>
      <c r="E60" s="178">
        <v>30</v>
      </c>
      <c r="F60" s="178">
        <v>0</v>
      </c>
      <c r="G60" s="178">
        <v>160</v>
      </c>
      <c r="H60" s="178">
        <f t="shared" si="0"/>
        <v>-130</v>
      </c>
      <c r="I60" s="178"/>
      <c r="J60" s="178">
        <v>110</v>
      </c>
      <c r="K60" s="178"/>
      <c r="L60" s="185">
        <v>280</v>
      </c>
      <c r="M60" s="178"/>
      <c r="N60" s="172">
        <v>330</v>
      </c>
      <c r="O60" s="52"/>
    </row>
    <row r="61" spans="1:15" x14ac:dyDescent="0.3">
      <c r="A61" s="50"/>
      <c r="B61" s="52"/>
      <c r="C61" s="52"/>
      <c r="D61" s="52"/>
      <c r="E61" s="178"/>
      <c r="F61" s="178"/>
      <c r="G61" s="178"/>
      <c r="H61" s="178">
        <f t="shared" si="0"/>
        <v>0</v>
      </c>
      <c r="I61" s="178"/>
      <c r="J61" s="178"/>
      <c r="K61" s="178"/>
      <c r="L61" s="178"/>
      <c r="M61" s="178"/>
      <c r="N61" s="172"/>
      <c r="O61" s="52"/>
    </row>
    <row r="62" spans="1:15" x14ac:dyDescent="0.3">
      <c r="A62" s="51" t="s">
        <v>21</v>
      </c>
      <c r="B62" s="52"/>
      <c r="C62" s="52"/>
      <c r="D62" s="52"/>
      <c r="E62" s="178"/>
      <c r="F62" s="178"/>
      <c r="G62" s="178"/>
      <c r="H62" s="178">
        <f t="shared" si="0"/>
        <v>0</v>
      </c>
      <c r="I62" s="178"/>
      <c r="J62" s="178"/>
      <c r="K62" s="178"/>
      <c r="L62" s="178"/>
      <c r="M62" s="178"/>
      <c r="N62" s="172"/>
      <c r="O62" s="52"/>
    </row>
    <row r="63" spans="1:15" x14ac:dyDescent="0.3">
      <c r="A63" s="50" t="s">
        <v>13</v>
      </c>
      <c r="B63" s="52"/>
      <c r="C63" s="52"/>
      <c r="D63" s="52"/>
      <c r="E63" s="178">
        <v>150</v>
      </c>
      <c r="F63" s="185"/>
      <c r="G63" s="178">
        <f t="shared" ref="G63:G69" si="3">SUM(E63-F63)</f>
        <v>150</v>
      </c>
      <c r="H63" s="178">
        <f t="shared" si="0"/>
        <v>0</v>
      </c>
      <c r="I63" s="178"/>
      <c r="J63" s="178">
        <v>150</v>
      </c>
      <c r="K63" s="178"/>
      <c r="L63" s="178"/>
      <c r="M63" s="178"/>
      <c r="N63" s="172">
        <v>160</v>
      </c>
      <c r="O63" s="52"/>
    </row>
    <row r="64" spans="1:15" x14ac:dyDescent="0.3">
      <c r="A64" s="50" t="s">
        <v>146</v>
      </c>
      <c r="B64" s="52"/>
      <c r="C64" s="52"/>
      <c r="D64" s="52"/>
      <c r="E64" s="178">
        <v>45</v>
      </c>
      <c r="F64" s="178">
        <v>0</v>
      </c>
      <c r="G64" s="178">
        <f t="shared" si="3"/>
        <v>45</v>
      </c>
      <c r="H64" s="178">
        <f t="shared" si="0"/>
        <v>0</v>
      </c>
      <c r="I64" s="178"/>
      <c r="J64" s="178">
        <v>50</v>
      </c>
      <c r="K64" s="178"/>
      <c r="L64" s="178"/>
      <c r="M64" s="178"/>
      <c r="N64" s="172">
        <v>0</v>
      </c>
      <c r="O64" s="52"/>
    </row>
    <row r="65" spans="1:14" ht="28.8" x14ac:dyDescent="0.3">
      <c r="A65" s="50" t="s">
        <v>147</v>
      </c>
      <c r="B65" s="52"/>
      <c r="C65" s="52"/>
      <c r="D65" s="52"/>
      <c r="E65" s="178">
        <v>15</v>
      </c>
      <c r="F65" s="178">
        <v>0</v>
      </c>
      <c r="G65" s="178">
        <v>0</v>
      </c>
      <c r="H65" s="178">
        <f t="shared" si="0"/>
        <v>15</v>
      </c>
      <c r="I65" s="178"/>
      <c r="J65" s="178">
        <v>18</v>
      </c>
      <c r="K65" s="178"/>
      <c r="L65" s="178"/>
      <c r="M65" s="178"/>
      <c r="N65" s="172">
        <v>0</v>
      </c>
    </row>
    <row r="66" spans="1:14" ht="28.8" x14ac:dyDescent="0.3">
      <c r="A66" s="50" t="s">
        <v>148</v>
      </c>
      <c r="B66" s="52"/>
      <c r="C66" s="52"/>
      <c r="D66" s="52"/>
      <c r="E66" s="178">
        <v>55</v>
      </c>
      <c r="F66" s="178">
        <v>0</v>
      </c>
      <c r="G66" s="178">
        <v>0</v>
      </c>
      <c r="H66" s="178">
        <f t="shared" si="0"/>
        <v>55</v>
      </c>
      <c r="I66" s="178"/>
      <c r="J66" s="178">
        <v>0</v>
      </c>
      <c r="K66" s="178"/>
      <c r="L66" s="178"/>
      <c r="M66" s="178"/>
      <c r="N66" s="172">
        <v>0</v>
      </c>
    </row>
    <row r="67" spans="1:14" x14ac:dyDescent="0.3">
      <c r="A67" s="50" t="s">
        <v>149</v>
      </c>
      <c r="B67" s="52"/>
      <c r="C67" s="52"/>
      <c r="D67" s="52"/>
      <c r="E67" s="178">
        <v>100</v>
      </c>
      <c r="F67" s="178">
        <v>0</v>
      </c>
      <c r="G67" s="178">
        <v>0</v>
      </c>
      <c r="H67" s="178">
        <f t="shared" si="0"/>
        <v>100</v>
      </c>
      <c r="I67" s="178"/>
      <c r="J67" s="58">
        <v>0</v>
      </c>
      <c r="K67" s="178"/>
      <c r="L67" s="178"/>
      <c r="M67" s="178"/>
      <c r="N67" s="172">
        <v>0</v>
      </c>
    </row>
    <row r="68" spans="1:14" x14ac:dyDescent="0.3">
      <c r="A68" s="50" t="s">
        <v>150</v>
      </c>
      <c r="B68" s="52"/>
      <c r="C68" s="52"/>
      <c r="D68" s="52"/>
      <c r="E68" s="178">
        <v>36</v>
      </c>
      <c r="F68" s="58">
        <v>36</v>
      </c>
      <c r="G68" s="178">
        <f t="shared" si="3"/>
        <v>0</v>
      </c>
      <c r="H68" s="178">
        <f t="shared" si="0"/>
        <v>0</v>
      </c>
      <c r="I68" s="178"/>
      <c r="J68" s="58">
        <v>38</v>
      </c>
      <c r="K68" s="178"/>
      <c r="L68" s="178"/>
      <c r="M68" s="178"/>
      <c r="N68" s="172">
        <v>45</v>
      </c>
    </row>
    <row r="69" spans="1:14" x14ac:dyDescent="0.3">
      <c r="A69" s="50" t="s">
        <v>151</v>
      </c>
      <c r="B69" s="52"/>
      <c r="C69" s="52"/>
      <c r="D69" s="52"/>
      <c r="E69" s="178">
        <v>46</v>
      </c>
      <c r="F69" s="178">
        <v>0</v>
      </c>
      <c r="G69" s="178">
        <f t="shared" si="3"/>
        <v>46</v>
      </c>
      <c r="H69" s="178">
        <f t="shared" si="0"/>
        <v>0</v>
      </c>
      <c r="I69" s="178"/>
      <c r="J69" s="58">
        <v>48</v>
      </c>
      <c r="K69" s="178"/>
      <c r="L69" s="178"/>
      <c r="M69" s="178"/>
      <c r="N69" s="172">
        <v>35</v>
      </c>
    </row>
    <row r="70" spans="1:14" s="37" customFormat="1" x14ac:dyDescent="0.3">
      <c r="A70" s="160" t="s">
        <v>364</v>
      </c>
      <c r="C70" s="51"/>
      <c r="D70" s="51"/>
      <c r="E70" s="177"/>
      <c r="F70" s="177"/>
      <c r="G70" s="177"/>
      <c r="H70" s="177"/>
      <c r="I70" s="177"/>
      <c r="J70" s="177"/>
      <c r="K70" s="177"/>
      <c r="L70" s="186">
        <v>350</v>
      </c>
      <c r="M70" s="186"/>
      <c r="N70" s="174"/>
    </row>
    <row r="71" spans="1:14" x14ac:dyDescent="0.3">
      <c r="A71" s="51" t="s">
        <v>152</v>
      </c>
      <c r="B71" s="52"/>
      <c r="C71" s="52"/>
      <c r="D71" s="52"/>
      <c r="E71" s="178"/>
      <c r="F71" s="178"/>
      <c r="G71" s="178"/>
      <c r="H71" s="178">
        <f t="shared" si="0"/>
        <v>0</v>
      </c>
      <c r="I71" s="178"/>
      <c r="J71" s="178"/>
      <c r="K71" s="178"/>
      <c r="L71" s="178"/>
      <c r="M71" s="178"/>
      <c r="N71" s="172"/>
    </row>
    <row r="72" spans="1:14" x14ac:dyDescent="0.3">
      <c r="A72" s="37" t="s">
        <v>238</v>
      </c>
      <c r="B72" s="52"/>
      <c r="C72" s="52"/>
      <c r="D72" s="52"/>
      <c r="E72" s="181">
        <v>500</v>
      </c>
      <c r="F72" s="181">
        <f>'Current budget'!F67</f>
        <v>180</v>
      </c>
      <c r="G72" s="181">
        <v>0</v>
      </c>
      <c r="H72" s="178">
        <f t="shared" si="0"/>
        <v>320</v>
      </c>
      <c r="I72" s="181"/>
      <c r="J72" s="187">
        <v>400</v>
      </c>
      <c r="K72" s="178"/>
      <c r="L72" s="182">
        <f>Payments!O103</f>
        <v>0</v>
      </c>
      <c r="M72" s="178"/>
      <c r="N72" s="172">
        <v>1000</v>
      </c>
    </row>
    <row r="73" spans="1:14" ht="28.8" x14ac:dyDescent="0.3">
      <c r="A73" s="50" t="s">
        <v>154</v>
      </c>
      <c r="B73" s="52"/>
      <c r="C73" s="52"/>
      <c r="D73" s="52"/>
      <c r="E73" s="181">
        <v>30</v>
      </c>
      <c r="F73" s="181">
        <v>0</v>
      </c>
      <c r="G73" s="181">
        <v>0</v>
      </c>
      <c r="H73" s="178">
        <f t="shared" si="0"/>
        <v>30</v>
      </c>
      <c r="I73" s="181"/>
      <c r="J73" s="181">
        <v>35</v>
      </c>
      <c r="K73" s="178"/>
      <c r="L73" s="178"/>
      <c r="M73" s="178"/>
      <c r="N73" s="172"/>
    </row>
    <row r="74" spans="1:14" x14ac:dyDescent="0.3">
      <c r="A74" s="50" t="s">
        <v>155</v>
      </c>
      <c r="B74" s="52"/>
      <c r="C74" s="52"/>
      <c r="D74" s="52"/>
      <c r="E74" s="181">
        <v>100</v>
      </c>
      <c r="F74" s="181">
        <v>600</v>
      </c>
      <c r="G74" s="181">
        <v>0</v>
      </c>
      <c r="H74" s="178">
        <f t="shared" si="0"/>
        <v>-500</v>
      </c>
      <c r="I74" s="181"/>
      <c r="J74" s="181">
        <v>600</v>
      </c>
      <c r="K74" s="178" t="s">
        <v>213</v>
      </c>
      <c r="L74" s="178"/>
      <c r="M74" s="178"/>
      <c r="N74" s="172">
        <v>400</v>
      </c>
    </row>
    <row r="75" spans="1:14" x14ac:dyDescent="0.3">
      <c r="A75" s="50" t="s">
        <v>156</v>
      </c>
      <c r="B75" s="52"/>
      <c r="C75" s="52"/>
      <c r="D75" s="52"/>
      <c r="E75" s="181">
        <v>100</v>
      </c>
      <c r="F75" s="181"/>
      <c r="G75" s="181">
        <v>0</v>
      </c>
      <c r="H75" s="178"/>
      <c r="I75" s="181"/>
      <c r="J75" s="181">
        <v>250</v>
      </c>
      <c r="K75" s="178"/>
      <c r="L75" s="178"/>
      <c r="M75" s="178"/>
      <c r="N75" s="172">
        <v>250</v>
      </c>
    </row>
    <row r="76" spans="1:14" ht="28.8" x14ac:dyDescent="0.3">
      <c r="A76" s="37" t="s">
        <v>239</v>
      </c>
      <c r="B76" s="52"/>
      <c r="C76" s="52"/>
      <c r="D76" s="52"/>
      <c r="E76" s="181">
        <v>100</v>
      </c>
      <c r="F76" s="181">
        <v>0</v>
      </c>
      <c r="G76" s="181">
        <v>0</v>
      </c>
      <c r="H76" s="178">
        <f t="shared" si="0"/>
        <v>100</v>
      </c>
      <c r="I76" s="181"/>
      <c r="J76" s="187">
        <v>100</v>
      </c>
      <c r="K76" s="178"/>
      <c r="L76" s="178"/>
      <c r="M76" s="178"/>
      <c r="N76" s="172"/>
    </row>
    <row r="77" spans="1:14" ht="28.8" x14ac:dyDescent="0.3">
      <c r="A77" s="50" t="s">
        <v>158</v>
      </c>
      <c r="B77" s="52"/>
      <c r="C77" s="52"/>
      <c r="D77" s="52"/>
      <c r="E77" s="181">
        <v>1000</v>
      </c>
      <c r="F77" s="181">
        <v>0</v>
      </c>
      <c r="G77" s="181">
        <v>0</v>
      </c>
      <c r="H77" s="178">
        <f t="shared" si="0"/>
        <v>1000</v>
      </c>
      <c r="I77" s="181"/>
      <c r="J77" s="187">
        <v>1000</v>
      </c>
      <c r="K77" s="178"/>
      <c r="L77" s="185">
        <f>Payments!W10</f>
        <v>0</v>
      </c>
      <c r="M77" s="178"/>
      <c r="N77" s="172">
        <v>1500</v>
      </c>
    </row>
    <row r="78" spans="1:14" x14ac:dyDescent="0.3">
      <c r="A78" s="37" t="s">
        <v>362</v>
      </c>
      <c r="B78" s="52"/>
      <c r="C78" s="52"/>
      <c r="D78" s="52"/>
      <c r="E78" s="181"/>
      <c r="F78" s="181">
        <v>58.88</v>
      </c>
      <c r="G78" s="181"/>
      <c r="H78" s="178">
        <f t="shared" si="0"/>
        <v>-58.88</v>
      </c>
      <c r="I78" s="181"/>
      <c r="J78" s="181"/>
      <c r="K78" s="178"/>
      <c r="L78" s="185"/>
      <c r="M78" s="178"/>
      <c r="N78" s="172"/>
    </row>
    <row r="79" spans="1:14" x14ac:dyDescent="0.3">
      <c r="A79" s="37" t="s">
        <v>216</v>
      </c>
      <c r="B79" s="52"/>
      <c r="C79" s="52"/>
      <c r="D79" s="52"/>
      <c r="E79" s="181"/>
      <c r="F79" s="181"/>
      <c r="G79" s="181"/>
      <c r="H79" s="178"/>
      <c r="I79" s="181"/>
      <c r="J79" s="181">
        <v>1000</v>
      </c>
      <c r="K79" s="178"/>
      <c r="L79" s="178"/>
      <c r="M79" s="178"/>
      <c r="N79" s="172">
        <v>1000</v>
      </c>
    </row>
    <row r="80" spans="1:14" x14ac:dyDescent="0.3">
      <c r="A80" s="37" t="s">
        <v>217</v>
      </c>
      <c r="B80" s="52"/>
      <c r="C80" s="52"/>
      <c r="D80" s="52"/>
      <c r="E80" s="181"/>
      <c r="F80" s="181"/>
      <c r="G80" s="181"/>
      <c r="H80" s="178"/>
      <c r="I80" s="181"/>
      <c r="J80" s="181">
        <v>1000</v>
      </c>
      <c r="K80" s="178"/>
      <c r="L80" s="178">
        <v>1000</v>
      </c>
      <c r="M80" s="178"/>
      <c r="N80" s="172"/>
    </row>
    <row r="81" spans="1:14" x14ac:dyDescent="0.3">
      <c r="A81" s="51" t="s">
        <v>159</v>
      </c>
      <c r="B81" s="52"/>
      <c r="C81" s="52"/>
      <c r="D81" s="52"/>
      <c r="E81" s="181"/>
      <c r="F81" s="181"/>
      <c r="G81" s="181"/>
      <c r="H81" s="178">
        <f t="shared" si="0"/>
        <v>0</v>
      </c>
      <c r="I81" s="181"/>
      <c r="J81" s="181"/>
      <c r="K81" s="178"/>
      <c r="L81" s="178"/>
      <c r="M81" s="178"/>
      <c r="N81" s="172"/>
    </row>
    <row r="82" spans="1:14" x14ac:dyDescent="0.3">
      <c r="A82" s="50" t="s">
        <v>160</v>
      </c>
      <c r="B82" s="52"/>
      <c r="C82" s="52"/>
      <c r="D82" s="52"/>
      <c r="E82" s="181">
        <v>200</v>
      </c>
      <c r="F82" s="181" t="e">
        <f>Payments!#REF!</f>
        <v>#REF!</v>
      </c>
      <c r="G82" s="181">
        <v>0</v>
      </c>
      <c r="H82" s="178" t="e">
        <f t="shared" si="0"/>
        <v>#REF!</v>
      </c>
      <c r="I82" s="181"/>
      <c r="J82" s="187">
        <v>200</v>
      </c>
      <c r="K82" s="178"/>
      <c r="L82" s="185">
        <v>150</v>
      </c>
      <c r="M82" s="178"/>
      <c r="N82" s="172">
        <v>250</v>
      </c>
    </row>
    <row r="83" spans="1:14" x14ac:dyDescent="0.3">
      <c r="A83" s="50" t="s">
        <v>161</v>
      </c>
      <c r="B83" s="52"/>
      <c r="C83" s="52"/>
      <c r="D83" s="52"/>
      <c r="E83" s="181">
        <v>250</v>
      </c>
      <c r="F83" s="181" t="e">
        <f>'Current budget'!F76</f>
        <v>#REF!</v>
      </c>
      <c r="G83" s="181">
        <v>0</v>
      </c>
      <c r="H83" s="178" t="e">
        <f t="shared" si="0"/>
        <v>#REF!</v>
      </c>
      <c r="I83" s="181"/>
      <c r="J83" s="187">
        <v>275</v>
      </c>
      <c r="K83" s="178" t="s">
        <v>212</v>
      </c>
      <c r="L83" s="178"/>
      <c r="M83" s="178"/>
      <c r="N83" s="172">
        <v>280</v>
      </c>
    </row>
    <row r="84" spans="1:14" x14ac:dyDescent="0.3">
      <c r="A84" s="50"/>
      <c r="B84" s="52"/>
      <c r="C84" s="52"/>
      <c r="D84" s="52"/>
      <c r="E84" s="181"/>
      <c r="F84" s="181"/>
      <c r="G84" s="181"/>
      <c r="H84" s="178">
        <f t="shared" si="0"/>
        <v>0</v>
      </c>
      <c r="I84" s="181"/>
      <c r="J84" s="181"/>
      <c r="K84" s="178"/>
      <c r="L84" s="178"/>
      <c r="M84" s="178"/>
      <c r="N84" s="172"/>
    </row>
    <row r="85" spans="1:14" x14ac:dyDescent="0.3">
      <c r="A85" s="51" t="s">
        <v>162</v>
      </c>
      <c r="B85" s="52"/>
      <c r="C85" s="52"/>
      <c r="D85" s="52"/>
      <c r="E85" s="181"/>
      <c r="F85" s="181"/>
      <c r="G85" s="181"/>
      <c r="H85" s="178">
        <f t="shared" si="0"/>
        <v>0</v>
      </c>
      <c r="I85" s="181"/>
      <c r="J85" s="181"/>
      <c r="K85" s="178"/>
      <c r="L85" s="178"/>
      <c r="M85" s="178"/>
      <c r="N85" s="172"/>
    </row>
    <row r="86" spans="1:14" x14ac:dyDescent="0.3">
      <c r="A86" s="50" t="s">
        <v>163</v>
      </c>
      <c r="B86" s="52"/>
      <c r="C86" s="52"/>
      <c r="D86" s="52"/>
      <c r="E86" s="181">
        <v>15000</v>
      </c>
      <c r="F86" s="181">
        <v>0</v>
      </c>
      <c r="G86" s="181">
        <v>0</v>
      </c>
      <c r="H86" s="178">
        <v>15000</v>
      </c>
      <c r="I86" s="181"/>
      <c r="J86" s="181">
        <v>20000</v>
      </c>
      <c r="K86" s="178"/>
      <c r="L86" s="178"/>
      <c r="M86" s="178"/>
      <c r="N86" s="172" t="s">
        <v>367</v>
      </c>
    </row>
    <row r="87" spans="1:14" ht="28.8" x14ac:dyDescent="0.3">
      <c r="A87" s="50" t="s">
        <v>164</v>
      </c>
      <c r="B87" s="52"/>
      <c r="C87" s="52"/>
      <c r="D87" s="52"/>
      <c r="E87" s="181">
        <v>780</v>
      </c>
      <c r="F87" s="181">
        <v>0</v>
      </c>
      <c r="G87" s="181">
        <v>780</v>
      </c>
      <c r="H87" s="178">
        <f t="shared" si="0"/>
        <v>0</v>
      </c>
      <c r="I87" s="181"/>
      <c r="J87" s="181"/>
      <c r="K87" s="178"/>
      <c r="L87" s="185">
        <f>Payments!W7</f>
        <v>0</v>
      </c>
      <c r="M87" s="178"/>
      <c r="N87" s="172" t="s">
        <v>367</v>
      </c>
    </row>
    <row r="88" spans="1:14" ht="28.8" x14ac:dyDescent="0.3">
      <c r="A88" s="50" t="s">
        <v>165</v>
      </c>
      <c r="B88" s="52"/>
      <c r="C88" s="52"/>
      <c r="D88" s="52"/>
      <c r="E88" s="181">
        <v>2000</v>
      </c>
      <c r="F88" s="181" t="e">
        <f>'Current budget'!F81</f>
        <v>#REF!</v>
      </c>
      <c r="G88" s="188">
        <v>2358.66</v>
      </c>
      <c r="H88" s="178" t="e">
        <f t="shared" si="0"/>
        <v>#REF!</v>
      </c>
      <c r="I88" s="181"/>
      <c r="J88" s="181"/>
      <c r="K88" s="178"/>
      <c r="L88" s="185">
        <f>Payments!W3</f>
        <v>0</v>
      </c>
      <c r="M88" s="178"/>
      <c r="N88" s="172"/>
    </row>
    <row r="89" spans="1:14" ht="43.2" x14ac:dyDescent="0.3">
      <c r="A89" s="50" t="s">
        <v>241</v>
      </c>
      <c r="B89" s="52"/>
      <c r="C89" s="52"/>
      <c r="D89" s="52"/>
      <c r="E89" s="181">
        <v>4680</v>
      </c>
      <c r="F89" s="181">
        <v>0</v>
      </c>
      <c r="G89" s="181">
        <v>4680</v>
      </c>
      <c r="H89" s="178">
        <f t="shared" si="0"/>
        <v>0</v>
      </c>
      <c r="I89" s="181"/>
      <c r="J89" s="181">
        <v>3000</v>
      </c>
      <c r="K89" s="58" t="s">
        <v>244</v>
      </c>
      <c r="L89" s="178"/>
      <c r="M89" s="178"/>
      <c r="N89" s="172"/>
    </row>
    <row r="90" spans="1:14" ht="43.2" x14ac:dyDescent="0.3">
      <c r="A90" s="50" t="s">
        <v>166</v>
      </c>
      <c r="B90" s="52"/>
      <c r="C90" s="52"/>
      <c r="D90" s="52"/>
      <c r="E90" s="181">
        <v>3252.27</v>
      </c>
      <c r="F90" s="181">
        <v>0</v>
      </c>
      <c r="G90" s="181">
        <v>0</v>
      </c>
      <c r="H90" s="178">
        <f t="shared" si="0"/>
        <v>3252.27</v>
      </c>
      <c r="I90" s="178">
        <f t="shared" si="0"/>
        <v>-3252.27</v>
      </c>
      <c r="J90" s="178">
        <v>1700</v>
      </c>
      <c r="K90" s="58" t="s">
        <v>240</v>
      </c>
      <c r="L90" s="178"/>
      <c r="M90" s="178"/>
      <c r="N90" s="172"/>
    </row>
    <row r="91" spans="1:14" ht="28.8" x14ac:dyDescent="0.3">
      <c r="A91" s="37" t="s">
        <v>204</v>
      </c>
      <c r="B91" s="52"/>
      <c r="C91" s="52"/>
      <c r="D91" s="52"/>
      <c r="E91" s="187">
        <v>2000</v>
      </c>
      <c r="F91" s="187">
        <v>1950</v>
      </c>
      <c r="G91" s="187">
        <v>0</v>
      </c>
      <c r="H91" s="178">
        <f t="shared" ref="H91:H96" si="4">SUM(E91-(F91+G91))</f>
        <v>50</v>
      </c>
      <c r="I91" s="181"/>
      <c r="J91" s="181"/>
      <c r="K91" s="178"/>
      <c r="L91" s="178"/>
      <c r="M91" s="178"/>
      <c r="N91" s="172"/>
    </row>
    <row r="92" spans="1:14" ht="28.8" x14ac:dyDescent="0.3">
      <c r="A92" s="37" t="s">
        <v>242</v>
      </c>
      <c r="B92" s="52"/>
      <c r="C92" s="52"/>
      <c r="D92" s="52"/>
      <c r="E92" s="187"/>
      <c r="F92" s="187"/>
      <c r="G92" s="187"/>
      <c r="H92" s="178"/>
      <c r="I92" s="181"/>
      <c r="J92" s="181">
        <v>1000</v>
      </c>
      <c r="K92" s="178" t="s">
        <v>218</v>
      </c>
      <c r="L92" s="178"/>
      <c r="M92" s="178"/>
      <c r="N92" s="172"/>
    </row>
    <row r="93" spans="1:14" x14ac:dyDescent="0.3">
      <c r="A93" s="51" t="s">
        <v>167</v>
      </c>
      <c r="B93" s="52"/>
      <c r="C93" s="52"/>
      <c r="D93" s="52"/>
      <c r="E93" s="181"/>
      <c r="F93" s="181"/>
      <c r="G93" s="181"/>
      <c r="H93" s="178">
        <f t="shared" si="4"/>
        <v>0</v>
      </c>
      <c r="I93" s="181"/>
      <c r="J93" s="181"/>
      <c r="K93" s="178"/>
      <c r="L93" s="178"/>
      <c r="M93" s="178"/>
      <c r="N93" s="172"/>
    </row>
    <row r="94" spans="1:14" x14ac:dyDescent="0.3">
      <c r="A94" s="50" t="s">
        <v>168</v>
      </c>
      <c r="B94" s="52"/>
      <c r="C94" s="52"/>
      <c r="D94" s="52"/>
      <c r="E94" s="181">
        <v>1000</v>
      </c>
      <c r="F94" s="181">
        <v>265</v>
      </c>
      <c r="G94" s="181">
        <v>0</v>
      </c>
      <c r="H94" s="178">
        <f t="shared" si="4"/>
        <v>735</v>
      </c>
      <c r="I94" s="181"/>
      <c r="J94" s="187">
        <v>0</v>
      </c>
      <c r="K94" s="178"/>
      <c r="L94" s="178"/>
      <c r="M94" s="178"/>
      <c r="N94" s="172"/>
    </row>
    <row r="95" spans="1:14" x14ac:dyDescent="0.3">
      <c r="A95" s="50" t="s">
        <v>245</v>
      </c>
      <c r="B95" s="52"/>
      <c r="C95" s="52"/>
      <c r="D95" s="52"/>
      <c r="E95" s="181">
        <v>1000</v>
      </c>
      <c r="F95" s="181">
        <v>0</v>
      </c>
      <c r="G95" s="181">
        <v>0</v>
      </c>
      <c r="H95" s="178">
        <f t="shared" si="4"/>
        <v>1000</v>
      </c>
      <c r="I95" s="181"/>
      <c r="J95" s="187">
        <v>1000</v>
      </c>
      <c r="K95" s="58" t="s">
        <v>231</v>
      </c>
      <c r="L95" s="178">
        <v>200</v>
      </c>
      <c r="M95" s="178" t="s">
        <v>365</v>
      </c>
      <c r="N95" s="172"/>
    </row>
    <row r="96" spans="1:14" x14ac:dyDescent="0.3">
      <c r="A96" s="50" t="s">
        <v>169</v>
      </c>
      <c r="B96" s="52"/>
      <c r="C96" s="52"/>
      <c r="D96" s="52"/>
      <c r="E96" s="181">
        <v>1000</v>
      </c>
      <c r="F96" s="181">
        <v>0</v>
      </c>
      <c r="G96" s="181">
        <v>0</v>
      </c>
      <c r="H96" s="178">
        <f t="shared" si="4"/>
        <v>1000</v>
      </c>
      <c r="I96" s="181"/>
      <c r="J96" s="187">
        <v>1000</v>
      </c>
      <c r="K96" s="178"/>
      <c r="L96" s="182">
        <v>39.799999999999997</v>
      </c>
      <c r="M96" s="178"/>
      <c r="N96" s="172"/>
    </row>
    <row r="97" spans="1:14" ht="15" thickBot="1" x14ac:dyDescent="0.35">
      <c r="A97" s="51" t="s">
        <v>170</v>
      </c>
      <c r="B97" s="52"/>
      <c r="C97" s="52"/>
      <c r="D97" s="52"/>
      <c r="E97" s="189">
        <f>SUM(E24:E96)</f>
        <v>53969.27</v>
      </c>
      <c r="F97" s="189" t="e">
        <f>SUM(F24:F96)</f>
        <v>#REF!</v>
      </c>
      <c r="G97" s="189">
        <f>SUM(G24:G96)</f>
        <v>13752.15</v>
      </c>
      <c r="H97" s="189" t="e">
        <f>SUM(H24:H96)</f>
        <v>#REF!</v>
      </c>
      <c r="I97" s="181"/>
      <c r="J97" s="190">
        <f>SUM(J24:J96)</f>
        <v>51078</v>
      </c>
      <c r="K97" s="178"/>
      <c r="L97" s="191">
        <f>SUM(L24:L96)</f>
        <v>3088.28</v>
      </c>
      <c r="M97" s="178"/>
      <c r="N97" s="175">
        <f>SUM(N24:N96)</f>
        <v>25453</v>
      </c>
    </row>
    <row r="98" spans="1:14" x14ac:dyDescent="0.3">
      <c r="A98" s="51"/>
      <c r="B98" s="52"/>
      <c r="C98" s="52"/>
      <c r="D98" s="52"/>
      <c r="E98" s="54"/>
      <c r="F98" s="54"/>
      <c r="G98" s="54"/>
      <c r="H98" s="54"/>
      <c r="I98" s="54"/>
      <c r="J98" s="54"/>
      <c r="K98" s="52"/>
      <c r="L98" s="52"/>
      <c r="M98" s="52"/>
      <c r="N98" s="172"/>
    </row>
    <row r="99" spans="1:14" x14ac:dyDescent="0.3">
      <c r="A99" s="50"/>
      <c r="B99" s="52"/>
      <c r="C99" s="52"/>
      <c r="D99" s="38" t="s">
        <v>171</v>
      </c>
      <c r="E99" s="38"/>
      <c r="F99" s="38"/>
      <c r="G99" s="52"/>
      <c r="H99" s="52"/>
      <c r="I99" s="52"/>
      <c r="J99" s="52"/>
      <c r="K99" s="52"/>
      <c r="L99" s="52"/>
      <c r="M99" s="52"/>
      <c r="N99" s="172"/>
    </row>
    <row r="100" spans="1:14" x14ac:dyDescent="0.3">
      <c r="A100" s="50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172"/>
    </row>
    <row r="101" spans="1:14" hidden="1" x14ac:dyDescent="0.3">
      <c r="A101" s="51" t="s">
        <v>173</v>
      </c>
      <c r="B101" s="48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172"/>
    </row>
    <row r="102" spans="1:14" hidden="1" x14ac:dyDescent="0.3">
      <c r="A102" s="51" t="s">
        <v>174</v>
      </c>
      <c r="B102" s="48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172"/>
    </row>
    <row r="103" spans="1:14" hidden="1" x14ac:dyDescent="0.3">
      <c r="A103" s="51" t="s">
        <v>175</v>
      </c>
      <c r="B103" s="48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172"/>
    </row>
    <row r="104" spans="1:14" hidden="1" x14ac:dyDescent="0.3">
      <c r="A104" s="51" t="s">
        <v>176</v>
      </c>
      <c r="B104" s="61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172"/>
    </row>
    <row r="105" spans="1:14" hidden="1" x14ac:dyDescent="0.3">
      <c r="A105" s="51" t="s">
        <v>177</v>
      </c>
      <c r="B105" s="38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172"/>
    </row>
    <row r="106" spans="1:14" hidden="1" x14ac:dyDescent="0.3">
      <c r="A106" s="51" t="s">
        <v>178</v>
      </c>
      <c r="B106" s="48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172"/>
    </row>
    <row r="107" spans="1:14" hidden="1" x14ac:dyDescent="0.3">
      <c r="A107" s="50" t="s">
        <v>179</v>
      </c>
      <c r="B107" s="57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172"/>
    </row>
    <row r="108" spans="1:14" hidden="1" x14ac:dyDescent="0.3">
      <c r="A108" s="50" t="s">
        <v>180</v>
      </c>
      <c r="B108" s="52">
        <v>0</v>
      </c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172"/>
    </row>
    <row r="109" spans="1:14" hidden="1" x14ac:dyDescent="0.3">
      <c r="A109" s="50" t="s">
        <v>181</v>
      </c>
      <c r="B109" s="52">
        <v>0</v>
      </c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172"/>
    </row>
    <row r="110" spans="1:14" hidden="1" x14ac:dyDescent="0.3">
      <c r="A110" s="50" t="s">
        <v>182</v>
      </c>
      <c r="B110" s="52">
        <v>0</v>
      </c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172"/>
    </row>
    <row r="111" spans="1:14" hidden="1" x14ac:dyDescent="0.3">
      <c r="A111" s="50" t="s">
        <v>183</v>
      </c>
      <c r="B111" s="52">
        <v>0</v>
      </c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172"/>
    </row>
    <row r="112" spans="1:14" hidden="1" x14ac:dyDescent="0.3">
      <c r="A112" s="50" t="s">
        <v>184</v>
      </c>
      <c r="B112" s="52">
        <v>0</v>
      </c>
      <c r="C112" s="38"/>
      <c r="G112" s="52"/>
      <c r="H112" s="52"/>
      <c r="I112" s="52"/>
      <c r="J112" s="52"/>
      <c r="K112" s="52"/>
      <c r="L112" s="52"/>
      <c r="M112" s="52"/>
      <c r="N112" s="172"/>
    </row>
    <row r="113" spans="1:13" ht="15.6" hidden="1" x14ac:dyDescent="0.3">
      <c r="A113" s="37" t="s">
        <v>198</v>
      </c>
      <c r="B113" s="57">
        <f>SUM(B101:B112)</f>
        <v>0</v>
      </c>
      <c r="C113" s="57"/>
      <c r="D113" s="56" t="e">
        <f>F97</f>
        <v>#REF!</v>
      </c>
      <c r="E113" s="38" t="s">
        <v>199</v>
      </c>
      <c r="F113" s="52"/>
      <c r="G113" s="52"/>
      <c r="H113" s="52"/>
      <c r="I113" s="52"/>
      <c r="J113" s="52"/>
      <c r="K113" s="52"/>
      <c r="L113" s="52"/>
      <c r="M113" s="52"/>
    </row>
    <row r="114" spans="1:13" hidden="1" x14ac:dyDescent="0.3">
      <c r="A114" s="37" t="s">
        <v>197</v>
      </c>
      <c r="B114" s="57"/>
      <c r="C114" s="57" t="e">
        <f>D113-B113</f>
        <v>#REF!</v>
      </c>
      <c r="D114" s="52"/>
      <c r="E114" s="52"/>
      <c r="F114" s="52"/>
      <c r="G114" s="52"/>
      <c r="H114" s="52"/>
      <c r="I114" s="52"/>
      <c r="J114" s="52"/>
      <c r="K114" s="52"/>
      <c r="L114" s="52"/>
      <c r="M114" s="52"/>
    </row>
    <row r="115" spans="1:13" ht="43.2" hidden="1" x14ac:dyDescent="0.3">
      <c r="A115" s="51" t="s">
        <v>185</v>
      </c>
      <c r="B115" s="52">
        <f>SUM(11500)</f>
        <v>11500</v>
      </c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</row>
    <row r="116" spans="1:13" hidden="1" x14ac:dyDescent="0.3">
      <c r="A116" s="50" t="s">
        <v>186</v>
      </c>
      <c r="B116" s="52">
        <v>0</v>
      </c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</row>
    <row r="117" spans="1:13" hidden="1" x14ac:dyDescent="0.3">
      <c r="A117" s="50" t="s">
        <v>187</v>
      </c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</row>
    <row r="118" spans="1:13" hidden="1" x14ac:dyDescent="0.3">
      <c r="A118" s="50" t="s">
        <v>188</v>
      </c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</row>
    <row r="119" spans="1:13" hidden="1" x14ac:dyDescent="0.3">
      <c r="A119" s="50" t="s">
        <v>189</v>
      </c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</row>
    <row r="120" spans="1:13" hidden="1" x14ac:dyDescent="0.3">
      <c r="A120" s="50" t="s">
        <v>190</v>
      </c>
      <c r="B120" s="52">
        <v>11500</v>
      </c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</row>
    <row r="121" spans="1:13" hidden="1" x14ac:dyDescent="0.3">
      <c r="A121" s="50" t="s">
        <v>191</v>
      </c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</row>
    <row r="122" spans="1:13" hidden="1" x14ac:dyDescent="0.3">
      <c r="A122" s="50" t="s">
        <v>192</v>
      </c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</row>
    <row r="123" spans="1:13" hidden="1" x14ac:dyDescent="0.3">
      <c r="A123" s="50" t="s">
        <v>193</v>
      </c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</row>
    <row r="124" spans="1:13" hidden="1" x14ac:dyDescent="0.3">
      <c r="A124" s="50" t="s">
        <v>194</v>
      </c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</row>
    <row r="125" spans="1:13" hidden="1" x14ac:dyDescent="0.3">
      <c r="A125" s="50" t="s">
        <v>195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</row>
    <row r="126" spans="1:13" x14ac:dyDescent="0.3">
      <c r="A126" s="50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</row>
    <row r="127" spans="1:13" x14ac:dyDescent="0.3">
      <c r="A127" s="50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</row>
    <row r="128" spans="1:13" x14ac:dyDescent="0.3">
      <c r="A128" s="50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 t="s">
        <v>363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3CFB6-9F78-4841-BD5E-2BD66F7839AD}">
  <dimension ref="B4:M51"/>
  <sheetViews>
    <sheetView topLeftCell="B11" workbookViewId="0">
      <selection activeCell="J18" sqref="J18"/>
    </sheetView>
  </sheetViews>
  <sheetFormatPr defaultRowHeight="14.4" x14ac:dyDescent="0.3"/>
  <cols>
    <col min="2" max="2" width="21.109375" customWidth="1"/>
    <col min="3" max="3" width="11.44140625" customWidth="1"/>
    <col min="4" max="4" width="10.33203125" customWidth="1"/>
    <col min="5" max="5" width="12" customWidth="1"/>
    <col min="6" max="6" width="14.6640625" customWidth="1"/>
    <col min="7" max="8" width="12.109375" customWidth="1"/>
    <col min="9" max="12" width="18.5546875" customWidth="1"/>
    <col min="13" max="13" width="57.44140625" customWidth="1"/>
  </cols>
  <sheetData>
    <row r="4" spans="2:13" ht="18" x14ac:dyDescent="0.35">
      <c r="B4" s="55" t="s">
        <v>407</v>
      </c>
    </row>
    <row r="6" spans="2:13" ht="43.2" x14ac:dyDescent="0.3">
      <c r="B6" s="192" t="s">
        <v>381</v>
      </c>
      <c r="C6" s="192" t="s">
        <v>382</v>
      </c>
      <c r="D6" s="192" t="s">
        <v>383</v>
      </c>
      <c r="E6" s="192" t="s">
        <v>420</v>
      </c>
      <c r="F6" s="192" t="s">
        <v>384</v>
      </c>
      <c r="G6" s="192" t="s">
        <v>385</v>
      </c>
      <c r="H6" s="192"/>
      <c r="I6" s="192" t="s">
        <v>386</v>
      </c>
      <c r="J6" s="192"/>
      <c r="K6" s="192"/>
      <c r="L6" s="192"/>
      <c r="M6" s="192" t="s">
        <v>387</v>
      </c>
    </row>
    <row r="7" spans="2:13" x14ac:dyDescent="0.3">
      <c r="B7" s="201" t="s">
        <v>251</v>
      </c>
      <c r="C7" s="201">
        <v>23000</v>
      </c>
      <c r="D7" s="201">
        <v>24500</v>
      </c>
      <c r="E7" s="201">
        <v>24500</v>
      </c>
      <c r="F7" s="201">
        <v>0</v>
      </c>
      <c r="G7" s="201">
        <f>D7-E7</f>
        <v>0</v>
      </c>
      <c r="H7" s="201"/>
      <c r="I7" s="201">
        <v>27000</v>
      </c>
      <c r="J7" s="201"/>
      <c r="K7" s="201"/>
      <c r="L7" s="201"/>
      <c r="M7" s="201" t="s">
        <v>426</v>
      </c>
    </row>
    <row r="8" spans="2:13" x14ac:dyDescent="0.3">
      <c r="B8" s="201" t="s">
        <v>253</v>
      </c>
      <c r="C8" s="201">
        <v>2820.25</v>
      </c>
      <c r="D8" s="201">
        <v>1867</v>
      </c>
      <c r="E8" s="201">
        <v>933</v>
      </c>
      <c r="F8" s="201">
        <v>0</v>
      </c>
      <c r="G8" s="201">
        <f t="shared" ref="G8:G11" si="0">D8-E8</f>
        <v>934</v>
      </c>
      <c r="H8" s="201"/>
      <c r="I8" s="201"/>
      <c r="J8" s="201"/>
      <c r="K8" s="201"/>
      <c r="L8" s="201"/>
      <c r="M8" s="201"/>
    </row>
    <row r="9" spans="2:13" x14ac:dyDescent="0.3">
      <c r="B9" s="201" t="s">
        <v>0</v>
      </c>
      <c r="C9" s="201">
        <v>0</v>
      </c>
      <c r="D9" s="201">
        <v>3750</v>
      </c>
      <c r="E9" s="201">
        <v>3754</v>
      </c>
      <c r="F9" s="201">
        <v>0</v>
      </c>
      <c r="G9" s="201">
        <f t="shared" si="0"/>
        <v>-4</v>
      </c>
      <c r="H9" s="201"/>
      <c r="I9" s="201"/>
      <c r="J9" s="201"/>
      <c r="K9" s="201"/>
      <c r="L9" s="201"/>
      <c r="M9" s="201"/>
    </row>
    <row r="10" spans="2:13" x14ac:dyDescent="0.3">
      <c r="B10" s="201" t="s">
        <v>388</v>
      </c>
      <c r="C10" s="201">
        <v>18.489999999999998</v>
      </c>
      <c r="D10" s="201">
        <v>18.559999999999999</v>
      </c>
      <c r="E10" s="201">
        <v>18.559999999999999</v>
      </c>
      <c r="F10" s="201">
        <v>0</v>
      </c>
      <c r="G10" s="201">
        <f t="shared" si="0"/>
        <v>0</v>
      </c>
      <c r="H10" s="201"/>
      <c r="I10" s="201"/>
      <c r="J10" s="201"/>
      <c r="K10" s="201"/>
      <c r="L10" s="201"/>
      <c r="M10" s="201"/>
    </row>
    <row r="11" spans="2:13" ht="37.5" customHeight="1" x14ac:dyDescent="0.3">
      <c r="B11" s="201" t="s">
        <v>201</v>
      </c>
      <c r="C11" s="201">
        <f>SUM(C7:C10)</f>
        <v>25838.74</v>
      </c>
      <c r="D11" s="201">
        <f t="shared" ref="D11:I11" si="1">SUM(D7:D10)</f>
        <v>30135.56</v>
      </c>
      <c r="E11" s="202">
        <f t="shared" si="1"/>
        <v>29205.56</v>
      </c>
      <c r="F11" s="201">
        <f t="shared" si="1"/>
        <v>0</v>
      </c>
      <c r="G11" s="201">
        <f t="shared" si="0"/>
        <v>930</v>
      </c>
      <c r="H11" s="201"/>
      <c r="I11" s="201">
        <f t="shared" si="1"/>
        <v>27000</v>
      </c>
      <c r="J11" s="201"/>
      <c r="K11" s="201"/>
      <c r="L11" s="201"/>
      <c r="M11" s="201"/>
    </row>
    <row r="12" spans="2:13" ht="21.75" customHeight="1" x14ac:dyDescent="0.3"/>
    <row r="16" spans="2:13" ht="43.2" x14ac:dyDescent="0.3">
      <c r="B16" s="193" t="s">
        <v>389</v>
      </c>
      <c r="C16" s="193" t="s">
        <v>382</v>
      </c>
      <c r="D16" s="193" t="s">
        <v>383</v>
      </c>
      <c r="E16" s="193" t="s">
        <v>395</v>
      </c>
      <c r="F16" s="193" t="s">
        <v>384</v>
      </c>
      <c r="G16" s="193" t="s">
        <v>396</v>
      </c>
      <c r="H16" s="193" t="s">
        <v>501</v>
      </c>
      <c r="I16" s="193" t="s">
        <v>386</v>
      </c>
      <c r="J16" s="193" t="s">
        <v>500</v>
      </c>
      <c r="K16" s="193" t="s">
        <v>502</v>
      </c>
      <c r="L16" s="193" t="s">
        <v>361</v>
      </c>
      <c r="M16" s="193" t="s">
        <v>387</v>
      </c>
    </row>
    <row r="17" spans="2:13" x14ac:dyDescent="0.3">
      <c r="B17" s="194" t="s">
        <v>115</v>
      </c>
      <c r="C17" s="195">
        <v>8891.9</v>
      </c>
      <c r="D17" s="195">
        <v>9880</v>
      </c>
      <c r="E17" s="195">
        <v>7286</v>
      </c>
      <c r="F17" s="195">
        <v>3520</v>
      </c>
      <c r="G17" s="200">
        <f>D17-E17-F17</f>
        <v>-926</v>
      </c>
      <c r="H17" s="200"/>
      <c r="I17" s="195">
        <v>11500</v>
      </c>
      <c r="J17" s="195">
        <f>Payments!J49+Payments!K49+Payments!M49+Payments!N49</f>
        <v>5889.26</v>
      </c>
      <c r="K17" s="195"/>
      <c r="L17" s="195"/>
      <c r="M17" s="196" t="s">
        <v>503</v>
      </c>
    </row>
    <row r="18" spans="2:13" x14ac:dyDescent="0.3">
      <c r="B18" s="196" t="s">
        <v>390</v>
      </c>
      <c r="C18" s="195">
        <v>350</v>
      </c>
      <c r="D18" s="195">
        <v>475</v>
      </c>
      <c r="E18" s="195">
        <v>0</v>
      </c>
      <c r="F18" s="195">
        <v>0</v>
      </c>
      <c r="G18" s="195">
        <f>D18-C18</f>
        <v>125</v>
      </c>
      <c r="H18" s="195"/>
      <c r="I18" s="195">
        <v>525</v>
      </c>
      <c r="J18" s="195"/>
      <c r="K18" s="195"/>
      <c r="L18" s="195"/>
      <c r="M18" s="195" t="s">
        <v>397</v>
      </c>
    </row>
    <row r="19" spans="2:13" x14ac:dyDescent="0.3">
      <c r="B19" s="194" t="s">
        <v>120</v>
      </c>
      <c r="C19" s="195">
        <v>360</v>
      </c>
      <c r="D19" s="195">
        <v>350</v>
      </c>
      <c r="E19" s="195">
        <v>365</v>
      </c>
      <c r="F19" s="195">
        <v>450</v>
      </c>
      <c r="G19" s="195">
        <f t="shared" ref="G19" si="2">D19-F19</f>
        <v>-100</v>
      </c>
      <c r="H19" s="195"/>
      <c r="I19" s="195">
        <v>500</v>
      </c>
      <c r="J19" s="195"/>
      <c r="K19" s="195"/>
      <c r="L19" s="195"/>
      <c r="M19" s="195"/>
    </row>
    <row r="20" spans="2:13" x14ac:dyDescent="0.3">
      <c r="B20" s="194" t="s">
        <v>391</v>
      </c>
      <c r="C20" s="195">
        <v>722.35</v>
      </c>
      <c r="D20" s="195">
        <v>513</v>
      </c>
      <c r="E20" s="195">
        <v>710</v>
      </c>
      <c r="F20" s="195">
        <v>280</v>
      </c>
      <c r="G20" s="195">
        <f>D20-E20-F20</f>
        <v>-477</v>
      </c>
      <c r="H20" s="195"/>
      <c r="I20" s="195">
        <v>1000</v>
      </c>
      <c r="J20" s="195"/>
      <c r="K20" s="195"/>
      <c r="L20" s="195"/>
      <c r="M20" s="195" t="s">
        <v>414</v>
      </c>
    </row>
    <row r="21" spans="2:13" x14ac:dyDescent="0.3">
      <c r="B21" s="194" t="s">
        <v>125</v>
      </c>
      <c r="C21" s="195">
        <v>0</v>
      </c>
      <c r="D21" s="195">
        <v>500</v>
      </c>
      <c r="E21" s="195">
        <v>130</v>
      </c>
      <c r="F21" s="195">
        <v>130</v>
      </c>
      <c r="G21" s="195">
        <f>D21-E21-F21</f>
        <v>240</v>
      </c>
      <c r="H21" s="195"/>
      <c r="I21" s="195">
        <v>500</v>
      </c>
      <c r="J21" s="195"/>
      <c r="K21" s="195"/>
      <c r="L21" s="195"/>
      <c r="M21" s="195"/>
    </row>
    <row r="22" spans="2:13" x14ac:dyDescent="0.3">
      <c r="B22" s="194" t="s">
        <v>126</v>
      </c>
      <c r="C22" s="195">
        <v>975.9</v>
      </c>
      <c r="D22" s="195">
        <v>1250</v>
      </c>
      <c r="E22" s="195">
        <v>908.45</v>
      </c>
      <c r="F22" s="195">
        <v>0</v>
      </c>
      <c r="G22" s="195">
        <f t="shared" ref="G22:G29" si="3">D22-E22-F22</f>
        <v>341.54999999999995</v>
      </c>
      <c r="H22" s="195"/>
      <c r="I22" s="195">
        <v>1050</v>
      </c>
      <c r="J22" s="195"/>
      <c r="K22" s="195"/>
      <c r="L22" s="195"/>
      <c r="M22" s="195" t="s">
        <v>402</v>
      </c>
    </row>
    <row r="23" spans="2:13" x14ac:dyDescent="0.3">
      <c r="B23" s="194" t="s">
        <v>392</v>
      </c>
      <c r="C23" s="195">
        <v>273.8</v>
      </c>
      <c r="D23" s="195">
        <v>490</v>
      </c>
      <c r="E23" s="195">
        <v>108</v>
      </c>
      <c r="F23" s="195">
        <v>80</v>
      </c>
      <c r="G23" s="195">
        <f t="shared" si="3"/>
        <v>302</v>
      </c>
      <c r="H23" s="195"/>
      <c r="I23" s="195">
        <v>500</v>
      </c>
      <c r="J23" s="195"/>
      <c r="K23" s="195"/>
      <c r="L23" s="195"/>
      <c r="M23" s="195" t="s">
        <v>413</v>
      </c>
    </row>
    <row r="24" spans="2:13" ht="28.8" x14ac:dyDescent="0.3">
      <c r="B24" s="196" t="s">
        <v>400</v>
      </c>
      <c r="C24" s="195">
        <v>125</v>
      </c>
      <c r="D24" s="195">
        <v>120</v>
      </c>
      <c r="E24" s="195">
        <v>85</v>
      </c>
      <c r="F24" s="195">
        <v>0</v>
      </c>
      <c r="G24" s="195">
        <f t="shared" si="3"/>
        <v>35</v>
      </c>
      <c r="H24" s="195"/>
      <c r="I24" s="195">
        <v>130</v>
      </c>
      <c r="J24" s="195"/>
      <c r="K24" s="195"/>
      <c r="L24" s="195"/>
      <c r="M24" s="195" t="s">
        <v>402</v>
      </c>
    </row>
    <row r="25" spans="2:13" ht="28.8" x14ac:dyDescent="0.3">
      <c r="B25" s="194" t="s">
        <v>136</v>
      </c>
      <c r="C25" s="195">
        <v>145</v>
      </c>
      <c r="D25" s="195">
        <f>'Budget 2023-2024'!J46</f>
        <v>500</v>
      </c>
      <c r="E25" s="195">
        <f>Payments!T5</f>
        <v>0</v>
      </c>
      <c r="F25" s="195">
        <v>0</v>
      </c>
      <c r="G25" s="200">
        <f t="shared" si="3"/>
        <v>500</v>
      </c>
      <c r="H25" s="200"/>
      <c r="I25" s="195">
        <v>1200</v>
      </c>
      <c r="J25" s="195"/>
      <c r="K25" s="195"/>
      <c r="L25" s="195"/>
      <c r="M25" s="195" t="s">
        <v>398</v>
      </c>
    </row>
    <row r="26" spans="2:13" x14ac:dyDescent="0.3">
      <c r="B26" s="196" t="s">
        <v>236</v>
      </c>
      <c r="C26" s="195">
        <v>0</v>
      </c>
      <c r="D26" s="195">
        <v>500</v>
      </c>
      <c r="E26" s="195">
        <v>0</v>
      </c>
      <c r="F26" s="195">
        <v>300</v>
      </c>
      <c r="G26" s="195">
        <f t="shared" si="3"/>
        <v>200</v>
      </c>
      <c r="H26" s="195"/>
      <c r="I26" s="195">
        <v>500</v>
      </c>
      <c r="J26" s="195"/>
      <c r="K26" s="195"/>
      <c r="L26" s="195"/>
      <c r="M26" s="195"/>
    </row>
    <row r="27" spans="2:13" ht="28.8" x14ac:dyDescent="0.3">
      <c r="B27" s="196" t="s">
        <v>237</v>
      </c>
      <c r="C27" s="195">
        <v>0</v>
      </c>
      <c r="D27" s="195">
        <v>500</v>
      </c>
      <c r="E27" s="195">
        <v>0</v>
      </c>
      <c r="F27" s="195">
        <v>500</v>
      </c>
      <c r="G27" s="195">
        <f t="shared" si="3"/>
        <v>0</v>
      </c>
      <c r="H27" s="195"/>
      <c r="I27" s="195">
        <v>1500</v>
      </c>
      <c r="J27" s="195"/>
      <c r="K27" s="195"/>
      <c r="L27" s="195"/>
      <c r="M27" s="195"/>
    </row>
    <row r="28" spans="2:13" x14ac:dyDescent="0.3">
      <c r="B28" s="194" t="s">
        <v>139</v>
      </c>
      <c r="C28" s="195">
        <v>0</v>
      </c>
      <c r="D28" s="195">
        <v>500</v>
      </c>
      <c r="E28" s="195">
        <v>0</v>
      </c>
      <c r="F28" s="195">
        <v>0</v>
      </c>
      <c r="G28" s="195">
        <f t="shared" si="3"/>
        <v>500</v>
      </c>
      <c r="H28" s="195"/>
      <c r="I28" s="195">
        <v>500</v>
      </c>
      <c r="J28" s="195"/>
      <c r="K28" s="195"/>
      <c r="L28" s="195"/>
      <c r="M28" s="195" t="s">
        <v>401</v>
      </c>
    </row>
    <row r="29" spans="2:13" x14ac:dyDescent="0.3">
      <c r="B29" s="194" t="s">
        <v>140</v>
      </c>
      <c r="C29" s="195">
        <v>0</v>
      </c>
      <c r="D29" s="195">
        <v>240</v>
      </c>
      <c r="E29" s="195">
        <v>0</v>
      </c>
      <c r="F29" s="195">
        <v>0</v>
      </c>
      <c r="G29" s="195">
        <f t="shared" si="3"/>
        <v>240</v>
      </c>
      <c r="H29" s="195"/>
      <c r="I29" s="195">
        <v>240</v>
      </c>
      <c r="J29" s="195"/>
      <c r="K29" s="195"/>
      <c r="L29" s="195"/>
      <c r="M29" s="195" t="s">
        <v>401</v>
      </c>
    </row>
    <row r="30" spans="2:13" x14ac:dyDescent="0.3">
      <c r="B30" s="194" t="s">
        <v>11</v>
      </c>
      <c r="C30" s="195">
        <v>306.08999999999997</v>
      </c>
      <c r="D30" s="195">
        <v>550</v>
      </c>
      <c r="E30" s="195">
        <v>333</v>
      </c>
      <c r="F30" s="195">
        <v>130</v>
      </c>
      <c r="G30" s="195">
        <f>D30-E30-F30</f>
        <v>87</v>
      </c>
      <c r="H30" s="195"/>
      <c r="I30" s="195">
        <v>500</v>
      </c>
      <c r="J30" s="195"/>
      <c r="K30" s="195"/>
      <c r="L30" s="195"/>
      <c r="M30" s="195" t="s">
        <v>402</v>
      </c>
    </row>
    <row r="31" spans="2:13" x14ac:dyDescent="0.3">
      <c r="B31" s="194" t="s">
        <v>142</v>
      </c>
      <c r="C31" s="195"/>
      <c r="D31" s="195"/>
      <c r="E31" s="195"/>
      <c r="F31" s="195">
        <v>0</v>
      </c>
      <c r="G31" s="195">
        <f>D31-E31-F31</f>
        <v>0</v>
      </c>
      <c r="H31" s="195"/>
      <c r="I31" s="195"/>
      <c r="J31" s="195"/>
      <c r="K31" s="195"/>
      <c r="L31" s="195"/>
      <c r="M31" s="195" t="s">
        <v>402</v>
      </c>
    </row>
    <row r="32" spans="2:13" x14ac:dyDescent="0.3">
      <c r="B32" s="196" t="s">
        <v>202</v>
      </c>
      <c r="C32" s="195">
        <v>62.39</v>
      </c>
      <c r="D32" s="195">
        <v>0</v>
      </c>
      <c r="E32" s="195">
        <v>0</v>
      </c>
      <c r="F32" s="195">
        <v>0</v>
      </c>
      <c r="G32" s="195">
        <v>0</v>
      </c>
      <c r="H32" s="195"/>
      <c r="I32" s="195">
        <v>50</v>
      </c>
      <c r="J32" s="195"/>
      <c r="K32" s="195"/>
      <c r="L32" s="195"/>
      <c r="M32" s="195"/>
    </row>
    <row r="33" spans="2:13" x14ac:dyDescent="0.3">
      <c r="B33" s="196" t="s">
        <v>410</v>
      </c>
      <c r="C33" s="195">
        <v>0</v>
      </c>
      <c r="D33" s="195">
        <v>0</v>
      </c>
      <c r="E33" s="195">
        <v>0</v>
      </c>
      <c r="F33" s="195">
        <v>0</v>
      </c>
      <c r="G33" s="195">
        <v>0</v>
      </c>
      <c r="H33" s="195"/>
      <c r="I33" s="195">
        <v>180</v>
      </c>
      <c r="J33" s="195"/>
      <c r="K33" s="195"/>
      <c r="L33" s="195"/>
      <c r="M33" s="195" t="s">
        <v>411</v>
      </c>
    </row>
    <row r="34" spans="2:13" x14ac:dyDescent="0.3">
      <c r="B34" s="194" t="s">
        <v>145</v>
      </c>
      <c r="C34" s="195"/>
      <c r="D34" s="195">
        <v>110</v>
      </c>
      <c r="E34" s="195">
        <v>280</v>
      </c>
      <c r="F34" s="195">
        <v>0</v>
      </c>
      <c r="G34" s="200">
        <f>D34-E34-F34</f>
        <v>-170</v>
      </c>
      <c r="H34" s="200"/>
      <c r="I34" s="195">
        <v>280</v>
      </c>
      <c r="J34" s="195"/>
      <c r="K34" s="195"/>
      <c r="L34" s="195"/>
      <c r="M34" s="195" t="s">
        <v>406</v>
      </c>
    </row>
    <row r="35" spans="2:13" x14ac:dyDescent="0.3">
      <c r="B35" s="196" t="s">
        <v>21</v>
      </c>
      <c r="C35" s="195">
        <v>218</v>
      </c>
      <c r="D35" s="195">
        <v>304</v>
      </c>
      <c r="E35" s="195">
        <v>0</v>
      </c>
      <c r="F35" s="195">
        <v>250</v>
      </c>
      <c r="G35" s="195">
        <f>D35-E35-F35</f>
        <v>54</v>
      </c>
      <c r="H35" s="195"/>
      <c r="I35" s="195">
        <v>300</v>
      </c>
      <c r="J35" s="195"/>
      <c r="K35" s="195"/>
      <c r="L35" s="195"/>
      <c r="M35" s="195"/>
    </row>
    <row r="36" spans="2:13" x14ac:dyDescent="0.3">
      <c r="B36" s="197" t="s">
        <v>364</v>
      </c>
      <c r="C36" s="195">
        <v>0</v>
      </c>
      <c r="D36" s="195">
        <v>350</v>
      </c>
      <c r="E36" s="195">
        <v>350</v>
      </c>
      <c r="F36" s="195">
        <v>0</v>
      </c>
      <c r="G36" s="195">
        <f t="shared" ref="G36:G50" si="4">D36-E36-F36</f>
        <v>0</v>
      </c>
      <c r="H36" s="195"/>
      <c r="I36" s="195">
        <v>350</v>
      </c>
      <c r="J36" s="195"/>
      <c r="K36" s="195"/>
      <c r="L36" s="195"/>
      <c r="M36" s="195" t="s">
        <v>402</v>
      </c>
    </row>
    <row r="37" spans="2:13" x14ac:dyDescent="0.3">
      <c r="B37" s="194" t="s">
        <v>393</v>
      </c>
      <c r="C37" s="195">
        <v>2530</v>
      </c>
      <c r="D37" s="195">
        <v>3394</v>
      </c>
      <c r="E37" s="195">
        <v>1395</v>
      </c>
      <c r="F37" s="195">
        <v>700</v>
      </c>
      <c r="G37" s="195">
        <f t="shared" si="4"/>
        <v>1299</v>
      </c>
      <c r="H37" s="195"/>
      <c r="I37" s="195">
        <v>3500</v>
      </c>
      <c r="J37" s="195"/>
      <c r="K37" s="195"/>
      <c r="L37" s="195"/>
      <c r="M37" s="195" t="s">
        <v>409</v>
      </c>
    </row>
    <row r="38" spans="2:13" x14ac:dyDescent="0.3">
      <c r="B38" s="196" t="s">
        <v>216</v>
      </c>
      <c r="C38" s="195">
        <v>465</v>
      </c>
      <c r="D38" s="195">
        <v>1000</v>
      </c>
      <c r="E38" s="195">
        <v>810</v>
      </c>
      <c r="F38" s="195">
        <v>0</v>
      </c>
      <c r="G38" s="195">
        <f t="shared" si="4"/>
        <v>190</v>
      </c>
      <c r="H38" s="195"/>
      <c r="I38" s="195">
        <v>1000</v>
      </c>
      <c r="J38" s="195"/>
      <c r="K38" s="195"/>
      <c r="L38" s="195"/>
      <c r="M38" s="195"/>
    </row>
    <row r="39" spans="2:13" x14ac:dyDescent="0.3">
      <c r="B39" s="194" t="s">
        <v>163</v>
      </c>
      <c r="C39" s="195">
        <v>0</v>
      </c>
      <c r="D39" s="195">
        <v>20000</v>
      </c>
      <c r="E39" s="195">
        <v>0</v>
      </c>
      <c r="F39" s="195">
        <v>0</v>
      </c>
      <c r="G39" s="195">
        <f t="shared" si="4"/>
        <v>20000</v>
      </c>
      <c r="H39" s="195"/>
      <c r="I39" s="195">
        <v>20000</v>
      </c>
      <c r="J39" s="195"/>
      <c r="K39" s="195"/>
      <c r="L39" s="195"/>
      <c r="M39" s="195" t="s">
        <v>416</v>
      </c>
    </row>
    <row r="40" spans="2:13" x14ac:dyDescent="0.3">
      <c r="B40" s="194" t="s">
        <v>394</v>
      </c>
      <c r="C40" s="195">
        <v>0</v>
      </c>
      <c r="D40" s="195">
        <v>0</v>
      </c>
      <c r="E40" s="195">
        <v>680</v>
      </c>
      <c r="F40" s="195">
        <v>0</v>
      </c>
      <c r="G40" s="200">
        <f t="shared" si="4"/>
        <v>-680</v>
      </c>
      <c r="H40" s="200"/>
      <c r="I40" s="195">
        <v>700</v>
      </c>
      <c r="J40" s="195"/>
      <c r="K40" s="195"/>
      <c r="L40" s="195"/>
      <c r="M40" s="195" t="s">
        <v>415</v>
      </c>
    </row>
    <row r="41" spans="2:13" x14ac:dyDescent="0.3">
      <c r="B41" s="194" t="s">
        <v>165</v>
      </c>
      <c r="C41" s="195">
        <v>4757.3999999999996</v>
      </c>
      <c r="D41" s="195">
        <v>0</v>
      </c>
      <c r="E41" s="195">
        <v>229</v>
      </c>
      <c r="F41" s="195">
        <v>0</v>
      </c>
      <c r="G41" s="200">
        <f t="shared" si="4"/>
        <v>-229</v>
      </c>
      <c r="H41" s="200"/>
      <c r="I41" s="195">
        <v>0</v>
      </c>
      <c r="J41" s="195"/>
      <c r="K41" s="195"/>
      <c r="L41" s="195"/>
      <c r="M41" s="195" t="s">
        <v>403</v>
      </c>
    </row>
    <row r="42" spans="2:13" ht="43.2" x14ac:dyDescent="0.3">
      <c r="B42" s="194" t="s">
        <v>241</v>
      </c>
      <c r="C42" s="195">
        <v>3911</v>
      </c>
      <c r="D42" s="195">
        <v>3000</v>
      </c>
      <c r="E42" s="195">
        <f>Payments!W69</f>
        <v>0</v>
      </c>
      <c r="F42" s="195">
        <v>0</v>
      </c>
      <c r="G42" s="200">
        <f t="shared" si="4"/>
        <v>3000</v>
      </c>
      <c r="H42" s="200"/>
      <c r="I42" s="195">
        <v>0</v>
      </c>
      <c r="J42" s="195"/>
      <c r="K42" s="195"/>
      <c r="L42" s="195"/>
      <c r="M42" s="195" t="s">
        <v>404</v>
      </c>
    </row>
    <row r="43" spans="2:13" ht="43.2" x14ac:dyDescent="0.3">
      <c r="B43" s="194" t="s">
        <v>166</v>
      </c>
      <c r="C43" s="195">
        <v>0</v>
      </c>
      <c r="D43" s="195">
        <v>1700</v>
      </c>
      <c r="E43" s="195">
        <v>0</v>
      </c>
      <c r="F43" s="195"/>
      <c r="G43" s="195">
        <f t="shared" si="4"/>
        <v>1700</v>
      </c>
      <c r="H43" s="195"/>
      <c r="I43" s="195">
        <v>3252</v>
      </c>
      <c r="J43" s="195"/>
      <c r="K43" s="195"/>
      <c r="L43" s="195"/>
      <c r="M43" s="195" t="s">
        <v>405</v>
      </c>
    </row>
    <row r="44" spans="2:13" x14ac:dyDescent="0.3">
      <c r="B44" s="196" t="s">
        <v>399</v>
      </c>
      <c r="C44" s="195">
        <v>1785</v>
      </c>
      <c r="D44" s="195">
        <v>0</v>
      </c>
      <c r="E44" s="195">
        <v>0</v>
      </c>
      <c r="F44" s="195">
        <v>0</v>
      </c>
      <c r="G44" s="195">
        <f t="shared" si="4"/>
        <v>0</v>
      </c>
      <c r="H44" s="195"/>
      <c r="I44" s="195">
        <v>0</v>
      </c>
      <c r="J44" s="195"/>
      <c r="K44" s="195"/>
      <c r="L44" s="195"/>
      <c r="M44" s="195" t="s">
        <v>403</v>
      </c>
    </row>
    <row r="45" spans="2:13" ht="28.8" x14ac:dyDescent="0.3">
      <c r="B45" s="196" t="s">
        <v>242</v>
      </c>
      <c r="C45" s="195">
        <v>0</v>
      </c>
      <c r="D45" s="195">
        <v>0</v>
      </c>
      <c r="E45" s="195">
        <v>0</v>
      </c>
      <c r="F45" s="195">
        <v>0</v>
      </c>
      <c r="G45" s="195">
        <f t="shared" si="4"/>
        <v>0</v>
      </c>
      <c r="H45" s="195"/>
      <c r="I45" s="195">
        <v>0</v>
      </c>
      <c r="J45" s="195"/>
      <c r="K45" s="195"/>
      <c r="L45" s="195"/>
      <c r="M45" s="195" t="s">
        <v>412</v>
      </c>
    </row>
    <row r="46" spans="2:13" x14ac:dyDescent="0.3">
      <c r="B46" s="198" t="s">
        <v>167</v>
      </c>
      <c r="C46" s="195"/>
      <c r="D46" s="195"/>
      <c r="E46" s="195">
        <v>0</v>
      </c>
      <c r="F46" s="195">
        <v>0</v>
      </c>
      <c r="G46" s="195">
        <f t="shared" si="4"/>
        <v>0</v>
      </c>
      <c r="H46" s="195"/>
      <c r="I46" s="195"/>
      <c r="J46" s="195"/>
      <c r="K46" s="195"/>
      <c r="L46" s="195"/>
      <c r="M46" s="195"/>
    </row>
    <row r="47" spans="2:13" x14ac:dyDescent="0.3">
      <c r="B47" s="194" t="s">
        <v>168</v>
      </c>
      <c r="C47" s="195">
        <v>0</v>
      </c>
      <c r="D47" s="195">
        <v>1000</v>
      </c>
      <c r="E47" s="195">
        <v>0</v>
      </c>
      <c r="F47" s="195">
        <v>0</v>
      </c>
      <c r="G47" s="195">
        <f t="shared" si="4"/>
        <v>1000</v>
      </c>
      <c r="H47" s="195"/>
      <c r="I47" s="195">
        <v>1000</v>
      </c>
      <c r="J47" s="195"/>
      <c r="K47" s="195"/>
      <c r="L47" s="195"/>
      <c r="M47" s="195"/>
    </row>
    <row r="48" spans="2:13" x14ac:dyDescent="0.3">
      <c r="B48" s="194" t="s">
        <v>245</v>
      </c>
      <c r="C48" s="195">
        <v>0</v>
      </c>
      <c r="D48" s="195"/>
      <c r="E48" s="195">
        <v>0</v>
      </c>
      <c r="F48" s="195">
        <v>0</v>
      </c>
      <c r="G48" s="195">
        <f t="shared" si="4"/>
        <v>0</v>
      </c>
      <c r="H48" s="195"/>
      <c r="I48" s="195">
        <v>0</v>
      </c>
      <c r="J48" s="195"/>
      <c r="K48" s="195"/>
      <c r="L48" s="195"/>
      <c r="M48" s="195" t="s">
        <v>408</v>
      </c>
    </row>
    <row r="49" spans="2:13" x14ac:dyDescent="0.3">
      <c r="B49" s="194" t="s">
        <v>169</v>
      </c>
      <c r="C49" s="195">
        <v>0</v>
      </c>
      <c r="D49" s="195">
        <v>1000</v>
      </c>
      <c r="E49" s="195">
        <v>0</v>
      </c>
      <c r="F49" s="195">
        <v>0</v>
      </c>
      <c r="G49" s="195">
        <f t="shared" si="4"/>
        <v>1000</v>
      </c>
      <c r="H49" s="195"/>
      <c r="I49" s="195">
        <v>1000</v>
      </c>
      <c r="J49" s="195"/>
      <c r="K49" s="195"/>
      <c r="L49" s="195"/>
      <c r="M49" s="195"/>
    </row>
    <row r="50" spans="2:13" x14ac:dyDescent="0.3">
      <c r="B50" s="198" t="s">
        <v>201</v>
      </c>
      <c r="C50" s="199">
        <f>SUM(C17:C49)</f>
        <v>25878.829999999998</v>
      </c>
      <c r="D50" s="199">
        <f>SUM(D17:D49)</f>
        <v>48226</v>
      </c>
      <c r="E50" s="199">
        <f>SUM(E17:E49)</f>
        <v>13669.45</v>
      </c>
      <c r="F50" s="199">
        <f>SUM(F17:F49)</f>
        <v>6340</v>
      </c>
      <c r="G50" s="199">
        <f t="shared" si="4"/>
        <v>28216.550000000003</v>
      </c>
      <c r="H50" s="199"/>
      <c r="I50" s="199">
        <f>SUM(I17:I49)</f>
        <v>51757</v>
      </c>
      <c r="J50" s="199"/>
      <c r="K50" s="199"/>
      <c r="L50" s="199"/>
      <c r="M50" s="195"/>
    </row>
    <row r="51" spans="2:13" x14ac:dyDescent="0.3">
      <c r="I51" s="206">
        <f>I50-I49-I47-I39-I28-I29</f>
        <v>29017</v>
      </c>
      <c r="J51" s="206"/>
      <c r="K51" s="206"/>
      <c r="L51" s="206"/>
      <c r="M51" t="s">
        <v>427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0891F-3EC1-4E71-A361-350DFF8CA709}">
  <dimension ref="A1:Z65"/>
  <sheetViews>
    <sheetView topLeftCell="A39" zoomScaleNormal="100" workbookViewId="0">
      <selection activeCell="M11" sqref="M11"/>
    </sheetView>
  </sheetViews>
  <sheetFormatPr defaultColWidth="9.109375" defaultRowHeight="14.4" x14ac:dyDescent="0.3"/>
  <cols>
    <col min="1" max="1" width="20" customWidth="1"/>
    <col min="6" max="6" width="45.33203125" customWidth="1"/>
    <col min="7" max="7" width="21.88671875" customWidth="1"/>
    <col min="9" max="9" width="1.44140625" customWidth="1"/>
    <col min="10" max="12" width="9.109375" hidden="1" customWidth="1"/>
    <col min="14" max="14" width="8.5546875" customWidth="1"/>
    <col min="15" max="15" width="9.109375" hidden="1" customWidth="1"/>
    <col min="16" max="16" width="15.44140625" style="208" bestFit="1" customWidth="1"/>
  </cols>
  <sheetData>
    <row r="1" spans="1:17" ht="18" x14ac:dyDescent="0.35">
      <c r="A1" s="28"/>
      <c r="B1" s="29" t="s">
        <v>428</v>
      </c>
    </row>
    <row r="2" spans="1:17" x14ac:dyDescent="0.3">
      <c r="A2" s="28"/>
    </row>
    <row r="3" spans="1:17" x14ac:dyDescent="0.3">
      <c r="A3" s="8"/>
      <c r="K3" s="30" t="s">
        <v>39</v>
      </c>
      <c r="M3" s="31" t="s">
        <v>40</v>
      </c>
      <c r="O3" s="31" t="s">
        <v>39</v>
      </c>
      <c r="P3" s="209" t="s">
        <v>41</v>
      </c>
    </row>
    <row r="4" spans="1:17" x14ac:dyDescent="0.3">
      <c r="A4" s="257" t="s">
        <v>517</v>
      </c>
      <c r="B4" t="s">
        <v>12</v>
      </c>
      <c r="D4" s="32"/>
      <c r="M4" t="s">
        <v>42</v>
      </c>
      <c r="P4" s="210" t="s">
        <v>43</v>
      </c>
    </row>
    <row r="5" spans="1:17" x14ac:dyDescent="0.3">
      <c r="A5" s="33" t="s">
        <v>518</v>
      </c>
      <c r="M5" s="33" t="s">
        <v>44</v>
      </c>
      <c r="P5" s="211" t="s">
        <v>45</v>
      </c>
    </row>
    <row r="6" spans="1:17" x14ac:dyDescent="0.3">
      <c r="A6" t="s">
        <v>519</v>
      </c>
      <c r="B6" s="253">
        <v>12922</v>
      </c>
    </row>
    <row r="7" spans="1:17" x14ac:dyDescent="0.3">
      <c r="A7" t="s">
        <v>520</v>
      </c>
      <c r="B7" s="31" t="s">
        <v>46</v>
      </c>
    </row>
    <row r="8" spans="1:17" x14ac:dyDescent="0.3">
      <c r="B8" s="31" t="s">
        <v>47</v>
      </c>
      <c r="P8" s="208">
        <v>28405</v>
      </c>
    </row>
    <row r="9" spans="1:17" x14ac:dyDescent="0.3">
      <c r="A9" t="s">
        <v>521</v>
      </c>
      <c r="B9" s="31"/>
    </row>
    <row r="10" spans="1:17" x14ac:dyDescent="0.3">
      <c r="A10" t="s">
        <v>522</v>
      </c>
      <c r="B10" s="255">
        <v>1188</v>
      </c>
      <c r="P10" s="208">
        <v>2500</v>
      </c>
      <c r="Q10" t="s">
        <v>48</v>
      </c>
    </row>
    <row r="11" spans="1:17" x14ac:dyDescent="0.3">
      <c r="B11" s="31" t="s">
        <v>49</v>
      </c>
      <c r="P11" s="208">
        <v>400</v>
      </c>
      <c r="Q11" t="s">
        <v>48</v>
      </c>
    </row>
    <row r="12" spans="1:17" x14ac:dyDescent="0.3">
      <c r="A12" t="s">
        <v>523</v>
      </c>
      <c r="B12" s="31">
        <v>312</v>
      </c>
      <c r="M12" s="34">
        <v>45000</v>
      </c>
      <c r="P12" s="212">
        <f>SUM(P8:P11)</f>
        <v>31305</v>
      </c>
    </row>
    <row r="13" spans="1:17" x14ac:dyDescent="0.3">
      <c r="A13" t="s">
        <v>524</v>
      </c>
      <c r="B13" s="31"/>
      <c r="I13" s="30"/>
      <c r="L13" s="30"/>
      <c r="M13" s="34"/>
      <c r="P13" s="212"/>
    </row>
    <row r="14" spans="1:17" x14ac:dyDescent="0.3">
      <c r="A14" s="30"/>
    </row>
    <row r="15" spans="1:17" x14ac:dyDescent="0.3">
      <c r="A15" t="s">
        <v>525</v>
      </c>
      <c r="B15" s="30" t="s">
        <v>50</v>
      </c>
    </row>
    <row r="16" spans="1:17" x14ac:dyDescent="0.3">
      <c r="A16" t="s">
        <v>526</v>
      </c>
      <c r="B16" s="31">
        <v>137.69999999999999</v>
      </c>
      <c r="H16" s="31" t="s">
        <v>39</v>
      </c>
      <c r="M16" s="34">
        <v>29000</v>
      </c>
      <c r="P16" s="212">
        <v>1</v>
      </c>
      <c r="Q16" t="s">
        <v>48</v>
      </c>
    </row>
    <row r="18" spans="2:18" x14ac:dyDescent="0.3">
      <c r="B18" s="30" t="s">
        <v>51</v>
      </c>
    </row>
    <row r="19" spans="2:18" x14ac:dyDescent="0.3">
      <c r="B19" s="31" t="s">
        <v>52</v>
      </c>
      <c r="P19" s="209">
        <v>1000</v>
      </c>
      <c r="Q19" t="s">
        <v>48</v>
      </c>
    </row>
    <row r="20" spans="2:18" x14ac:dyDescent="0.3">
      <c r="B20" s="31" t="s">
        <v>53</v>
      </c>
      <c r="P20" s="209">
        <v>1000</v>
      </c>
      <c r="Q20" t="s">
        <v>48</v>
      </c>
    </row>
    <row r="21" spans="2:18" x14ac:dyDescent="0.3">
      <c r="B21" s="31" t="s">
        <v>54</v>
      </c>
      <c r="P21" s="209">
        <v>100</v>
      </c>
      <c r="Q21" t="s">
        <v>48</v>
      </c>
    </row>
    <row r="22" spans="2:18" x14ac:dyDescent="0.3">
      <c r="B22" s="31" t="s">
        <v>55</v>
      </c>
      <c r="P22" s="209">
        <v>749</v>
      </c>
      <c r="R22" t="s">
        <v>56</v>
      </c>
    </row>
    <row r="23" spans="2:18" x14ac:dyDescent="0.3">
      <c r="B23" s="31" t="s">
        <v>57</v>
      </c>
    </row>
    <row r="24" spans="2:18" x14ac:dyDescent="0.3">
      <c r="B24" s="31" t="s">
        <v>58</v>
      </c>
      <c r="P24" s="209">
        <v>185</v>
      </c>
      <c r="Q24" t="s">
        <v>48</v>
      </c>
    </row>
    <row r="25" spans="2:18" x14ac:dyDescent="0.3">
      <c r="B25" s="31" t="s">
        <v>59</v>
      </c>
      <c r="P25" s="209">
        <f>91.38+25</f>
        <v>116.38</v>
      </c>
    </row>
    <row r="26" spans="2:18" x14ac:dyDescent="0.3">
      <c r="B26" s="31" t="s">
        <v>60</v>
      </c>
      <c r="P26" s="209">
        <v>185</v>
      </c>
      <c r="Q26" t="s">
        <v>48</v>
      </c>
    </row>
    <row r="27" spans="2:18" x14ac:dyDescent="0.3">
      <c r="B27" s="31" t="s">
        <v>61</v>
      </c>
      <c r="P27" s="209">
        <v>600</v>
      </c>
    </row>
    <row r="28" spans="2:18" x14ac:dyDescent="0.3">
      <c r="B28" s="31" t="s">
        <v>62</v>
      </c>
      <c r="P28" s="209">
        <v>185</v>
      </c>
    </row>
    <row r="29" spans="2:18" x14ac:dyDescent="0.3">
      <c r="B29" s="31"/>
      <c r="P29" s="209"/>
    </row>
    <row r="30" spans="2:18" x14ac:dyDescent="0.3">
      <c r="B30" s="42" t="s">
        <v>63</v>
      </c>
      <c r="P30" s="209">
        <v>0</v>
      </c>
      <c r="Q30" t="s">
        <v>48</v>
      </c>
    </row>
    <row r="31" spans="2:18" x14ac:dyDescent="0.3">
      <c r="B31" s="31" t="s">
        <v>64</v>
      </c>
      <c r="P31" s="209">
        <v>1800</v>
      </c>
      <c r="Q31" t="s">
        <v>48</v>
      </c>
    </row>
    <row r="32" spans="2:18" x14ac:dyDescent="0.3">
      <c r="B32" s="31" t="s">
        <v>418</v>
      </c>
      <c r="P32" s="209">
        <v>500</v>
      </c>
    </row>
    <row r="33" spans="2:26" x14ac:dyDescent="0.3">
      <c r="B33" s="31" t="s">
        <v>65</v>
      </c>
      <c r="P33" s="209">
        <v>57.3</v>
      </c>
    </row>
    <row r="34" spans="2:26" x14ac:dyDescent="0.3">
      <c r="B34" s="31" t="s">
        <v>66</v>
      </c>
      <c r="P34" s="209">
        <v>130</v>
      </c>
    </row>
    <row r="35" spans="2:26" x14ac:dyDescent="0.3">
      <c r="B35" s="31" t="s">
        <v>67</v>
      </c>
      <c r="P35" s="209">
        <v>21.99</v>
      </c>
    </row>
    <row r="36" spans="2:26" x14ac:dyDescent="0.3">
      <c r="B36" s="31" t="s">
        <v>68</v>
      </c>
      <c r="P36" s="209">
        <v>708.48</v>
      </c>
    </row>
    <row r="37" spans="2:26" x14ac:dyDescent="0.3">
      <c r="B37" s="31" t="s">
        <v>69</v>
      </c>
      <c r="P37" s="209">
        <v>4215.13</v>
      </c>
    </row>
    <row r="38" spans="2:26" x14ac:dyDescent="0.3">
      <c r="B38" s="31" t="s">
        <v>70</v>
      </c>
      <c r="P38" s="209">
        <v>1780</v>
      </c>
    </row>
    <row r="39" spans="2:26" x14ac:dyDescent="0.3">
      <c r="B39" s="31" t="s">
        <v>71</v>
      </c>
      <c r="P39" s="209">
        <v>738</v>
      </c>
      <c r="R39" s="35">
        <v>43556</v>
      </c>
    </row>
    <row r="40" spans="2:26" x14ac:dyDescent="0.3">
      <c r="B40" s="31" t="s">
        <v>72</v>
      </c>
      <c r="P40" s="209">
        <v>198</v>
      </c>
      <c r="R40" s="35">
        <v>44013</v>
      </c>
    </row>
    <row r="41" spans="2:26" x14ac:dyDescent="0.3">
      <c r="B41" s="31" t="s">
        <v>73</v>
      </c>
      <c r="P41" s="209">
        <v>79.92</v>
      </c>
      <c r="R41" s="35">
        <v>44013</v>
      </c>
    </row>
    <row r="42" spans="2:26" x14ac:dyDescent="0.3">
      <c r="B42" s="31" t="s">
        <v>85</v>
      </c>
      <c r="P42" s="209">
        <v>3255</v>
      </c>
      <c r="R42" s="35">
        <v>44256</v>
      </c>
    </row>
    <row r="43" spans="2:26" x14ac:dyDescent="0.3">
      <c r="B43" s="31" t="s">
        <v>91</v>
      </c>
      <c r="P43" s="209">
        <v>925</v>
      </c>
      <c r="R43" s="35" t="s">
        <v>90</v>
      </c>
    </row>
    <row r="44" spans="2:26" x14ac:dyDescent="0.3">
      <c r="B44" s="31"/>
      <c r="P44" s="209"/>
      <c r="R44" s="35"/>
    </row>
    <row r="45" spans="2:26" x14ac:dyDescent="0.3">
      <c r="B45" s="30" t="s">
        <v>74</v>
      </c>
      <c r="M45" s="214">
        <v>29000</v>
      </c>
      <c r="P45" s="215">
        <f>SUM(P16:P43)</f>
        <v>18530.199999999997</v>
      </c>
      <c r="Q45" s="30"/>
      <c r="Z45" s="30" t="s">
        <v>75</v>
      </c>
    </row>
    <row r="46" spans="2:26" x14ac:dyDescent="0.3">
      <c r="R46" s="35"/>
    </row>
    <row r="47" spans="2:26" x14ac:dyDescent="0.3">
      <c r="B47" s="30" t="s">
        <v>76</v>
      </c>
    </row>
    <row r="48" spans="2:26" x14ac:dyDescent="0.3">
      <c r="B48" s="31" t="s">
        <v>77</v>
      </c>
      <c r="P48" s="209">
        <v>60000</v>
      </c>
    </row>
    <row r="49" spans="2:18" x14ac:dyDescent="0.3">
      <c r="B49" s="31" t="s">
        <v>78</v>
      </c>
      <c r="P49" s="209">
        <v>1</v>
      </c>
    </row>
    <row r="50" spans="2:18" x14ac:dyDescent="0.3">
      <c r="B50" s="30" t="s">
        <v>79</v>
      </c>
      <c r="P50" s="212">
        <f>SUM(P48:P49)</f>
        <v>60001</v>
      </c>
    </row>
    <row r="51" spans="2:18" x14ac:dyDescent="0.3">
      <c r="B51" s="30"/>
      <c r="P51" s="212"/>
    </row>
    <row r="52" spans="2:18" x14ac:dyDescent="0.3">
      <c r="B52" s="30" t="s">
        <v>86</v>
      </c>
      <c r="P52" s="212"/>
    </row>
    <row r="53" spans="2:18" x14ac:dyDescent="0.3">
      <c r="B53" s="31" t="s">
        <v>87</v>
      </c>
      <c r="P53" s="209">
        <v>710</v>
      </c>
    </row>
    <row r="54" spans="2:18" x14ac:dyDescent="0.3">
      <c r="B54" s="31" t="s">
        <v>249</v>
      </c>
      <c r="P54" s="209">
        <v>1</v>
      </c>
      <c r="R54" t="s">
        <v>288</v>
      </c>
    </row>
    <row r="55" spans="2:18" x14ac:dyDescent="0.3">
      <c r="B55" s="31" t="s">
        <v>80</v>
      </c>
      <c r="P55" s="209">
        <v>0</v>
      </c>
    </row>
    <row r="56" spans="2:18" x14ac:dyDescent="0.3">
      <c r="B56" s="31" t="s">
        <v>88</v>
      </c>
      <c r="P56" s="209">
        <v>2500</v>
      </c>
      <c r="R56">
        <v>2021</v>
      </c>
    </row>
    <row r="57" spans="2:18" x14ac:dyDescent="0.3">
      <c r="B57" s="31" t="s">
        <v>89</v>
      </c>
      <c r="P57" s="209">
        <v>6145</v>
      </c>
      <c r="R57" s="35">
        <v>44531</v>
      </c>
    </row>
    <row r="58" spans="2:18" x14ac:dyDescent="0.3">
      <c r="B58" s="31" t="s">
        <v>421</v>
      </c>
      <c r="P58" s="209">
        <v>5000</v>
      </c>
      <c r="R58" s="35">
        <v>45231</v>
      </c>
    </row>
    <row r="59" spans="2:18" x14ac:dyDescent="0.3">
      <c r="B59" s="31" t="s">
        <v>248</v>
      </c>
      <c r="P59" s="209">
        <v>5200</v>
      </c>
      <c r="R59" s="35">
        <v>44896</v>
      </c>
    </row>
    <row r="60" spans="2:18" x14ac:dyDescent="0.3">
      <c r="B60" s="30" t="s">
        <v>81</v>
      </c>
      <c r="P60" s="212">
        <f>SUM(P53:P59)</f>
        <v>19556</v>
      </c>
    </row>
    <row r="61" spans="2:18" x14ac:dyDescent="0.3">
      <c r="B61" s="30"/>
    </row>
    <row r="62" spans="2:18" x14ac:dyDescent="0.3">
      <c r="B62" s="30" t="s">
        <v>82</v>
      </c>
      <c r="P62" s="213">
        <f>P12+P45+P50+P60</f>
        <v>129392.2</v>
      </c>
      <c r="Q62" s="36"/>
    </row>
    <row r="64" spans="2:18" x14ac:dyDescent="0.3">
      <c r="B64" s="30" t="s">
        <v>83</v>
      </c>
    </row>
    <row r="65" spans="2:2" x14ac:dyDescent="0.3">
      <c r="B65" t="s">
        <v>84</v>
      </c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c13ff6-476a-4268-ba58-9168f8ecd222">
      <Terms xmlns="http://schemas.microsoft.com/office/infopath/2007/PartnerControls"/>
    </lcf76f155ced4ddcb4097134ff3c332f>
    <TaxCatchAll xmlns="1d27aca2-012b-402a-bdf7-8b4387e5c83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C24859B7D63E46874B4BA7DB966C4F" ma:contentTypeVersion="11" ma:contentTypeDescription="Create a new document." ma:contentTypeScope="" ma:versionID="ae7ba7afa5679c04c29df8b633ca6383">
  <xsd:schema xmlns:xsd="http://www.w3.org/2001/XMLSchema" xmlns:xs="http://www.w3.org/2001/XMLSchema" xmlns:p="http://schemas.microsoft.com/office/2006/metadata/properties" xmlns:ns2="24c13ff6-476a-4268-ba58-9168f8ecd222" xmlns:ns3="1d27aca2-012b-402a-bdf7-8b4387e5c834" targetNamespace="http://schemas.microsoft.com/office/2006/metadata/properties" ma:root="true" ma:fieldsID="c59dc264f6a0692229b579969af72bea" ns2:_="" ns3:_="">
    <xsd:import namespace="24c13ff6-476a-4268-ba58-9168f8ecd222"/>
    <xsd:import namespace="1d27aca2-012b-402a-bdf7-8b4387e5c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13ff6-476a-4268-ba58-9168f8ecd2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430a515b-fae6-4d44-98d2-b0b2cac5f3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7aca2-012b-402a-bdf7-8b4387e5c83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e93c94e-495a-4948-a5c9-cad82b8afbb5}" ma:internalName="TaxCatchAll" ma:showField="CatchAllData" ma:web="1d27aca2-012b-402a-bdf7-8b4387e5c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64F49F-826B-42BA-B168-A3BA6FD4A612}">
  <ds:schemaRefs>
    <ds:schemaRef ds:uri="http://schemas.microsoft.com/office/2006/metadata/properties"/>
    <ds:schemaRef ds:uri="http://schemas.microsoft.com/office/infopath/2007/PartnerControls"/>
    <ds:schemaRef ds:uri="24c13ff6-476a-4268-ba58-9168f8ecd222"/>
    <ds:schemaRef ds:uri="1d27aca2-012b-402a-bdf7-8b4387e5c834"/>
  </ds:schemaRefs>
</ds:datastoreItem>
</file>

<file path=customXml/itemProps2.xml><?xml version="1.0" encoding="utf-8"?>
<ds:datastoreItem xmlns:ds="http://schemas.openxmlformats.org/officeDocument/2006/customXml" ds:itemID="{D164E2AD-EA98-4176-BFA1-1F3A9ECE1F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c13ff6-476a-4268-ba58-9168f8ecd222"/>
    <ds:schemaRef ds:uri="1d27aca2-012b-402a-bdf7-8b4387e5c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7528E4-EB0F-4FC1-9986-25694D42E6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Receipts &amp; Payments Summary </vt:lpstr>
      <vt:lpstr>Payments</vt:lpstr>
      <vt:lpstr>Receipts</vt:lpstr>
      <vt:lpstr>Annual return </vt:lpstr>
      <vt:lpstr>Reconciliation</vt:lpstr>
      <vt:lpstr>Current budget</vt:lpstr>
      <vt:lpstr>Variances </vt:lpstr>
      <vt:lpstr>Budget 2023-2024</vt:lpstr>
      <vt:lpstr>Budget 2025 2026</vt:lpstr>
      <vt:lpstr>Assumptions </vt:lpstr>
      <vt:lpstr>Reserves Capital budget </vt:lpstr>
      <vt:lpstr>Budget 2026 2027</vt:lpstr>
      <vt:lpstr>Budget 2024-2025</vt:lpstr>
      <vt:lpstr>2024 2025 budget</vt:lpstr>
      <vt:lpstr>Asset Register</vt:lpstr>
      <vt:lpstr>Payments!Print_Area</vt:lpstr>
      <vt:lpstr>Receipts!Print_Area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</dc:creator>
  <cp:lastModifiedBy>Stanton St John Parish Council</cp:lastModifiedBy>
  <cp:lastPrinted>2025-02-03T10:03:03Z</cp:lastPrinted>
  <dcterms:created xsi:type="dcterms:W3CDTF">2019-03-05T21:49:36Z</dcterms:created>
  <dcterms:modified xsi:type="dcterms:W3CDTF">2026-09-19T16:35:45Z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0x01010017C24859B7D63E46874B4BA7DB966C4F</vt:lpwstr>
  </property>
  <property fmtid="{D5CDD505-2E9C-101B-9397-08002B2CF9AE}" pid="3" name="MediaServiceImageTags">
    <vt:lpwstr/>
  </property>
</Properties>
</file>